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lnavav\Desktop\todas las carpetas\SINERGIA Y TABLERO DE CONTROL PRESIDENTE\2021\SEGUIMIENTO PUBLICADO\"/>
    </mc:Choice>
  </mc:AlternateContent>
  <xr:revisionPtr revIDLastSave="0" documentId="13_ncr:1_{5B51E52B-0098-4536-ABDE-36049D856171}" xr6:coauthVersionLast="47" xr6:coauthVersionMax="47" xr10:uidLastSave="{00000000-0000-0000-0000-000000000000}"/>
  <bookViews>
    <workbookView xWindow="-120" yWindow="-120" windowWidth="20730" windowHeight="11160" tabRatio="628" activeTab="8" xr2:uid="{00000000-000D-0000-FFFF-FFFF00000000}"/>
  </bookViews>
  <sheets>
    <sheet name="METAS 2019-2022" sheetId="1" r:id="rId1"/>
    <sheet name="DICIEMBRE 2019" sheetId="4" r:id="rId2"/>
    <sheet name="DICIEMBRE 2020" sheetId="15" r:id="rId3"/>
    <sheet name="ENERO 2021" sheetId="16" state="hidden" r:id="rId4"/>
    <sheet name="FEBRERO 2021" sheetId="17" state="hidden" r:id="rId5"/>
    <sheet name="MARZO 2021" sheetId="18" state="hidden" r:id="rId6"/>
    <sheet name="ABRIL 2021" sheetId="19" state="hidden" r:id="rId7"/>
    <sheet name="MAYO 2021" sheetId="20" state="hidden" r:id="rId8"/>
    <sheet name="JUNIO 2021" sheetId="21" r:id="rId9"/>
  </sheets>
  <definedNames>
    <definedName name="_xlnm.Print_Titles" localSheetId="0">'METAS 2019-2022'!$1:$2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21" l="1"/>
  <c r="G18" i="21" s="1"/>
  <c r="H18" i="21" s="1"/>
  <c r="D17" i="21"/>
  <c r="D16" i="21"/>
  <c r="E16" i="21" s="1"/>
  <c r="D15" i="21"/>
  <c r="E15" i="21" s="1"/>
  <c r="D13" i="21"/>
  <c r="E13" i="21" s="1"/>
  <c r="D12" i="21"/>
  <c r="E12" i="21" s="1"/>
  <c r="D11" i="21"/>
  <c r="G11" i="21" s="1"/>
  <c r="H11" i="21" s="1"/>
  <c r="D10" i="21"/>
  <c r="D9" i="21"/>
  <c r="E9" i="21" s="1"/>
  <c r="D6" i="21"/>
  <c r="G6" i="21" s="1"/>
  <c r="D5" i="21"/>
  <c r="E5" i="21"/>
  <c r="F7" i="21"/>
  <c r="G23" i="21"/>
  <c r="H23" i="21" s="1"/>
  <c r="F23" i="21"/>
  <c r="C23" i="21"/>
  <c r="E23" i="21" s="1"/>
  <c r="H22" i="21"/>
  <c r="G22" i="21"/>
  <c r="F22" i="21"/>
  <c r="C22" i="21"/>
  <c r="B22" i="21"/>
  <c r="H21" i="21"/>
  <c r="F21" i="21"/>
  <c r="C21" i="21"/>
  <c r="B21" i="21"/>
  <c r="G20" i="21"/>
  <c r="F20" i="21"/>
  <c r="H20" i="21" s="1"/>
  <c r="C20" i="21"/>
  <c r="E20" i="21" s="1"/>
  <c r="B20" i="21"/>
  <c r="H19" i="21"/>
  <c r="F19" i="21"/>
  <c r="C19" i="21"/>
  <c r="B19" i="21"/>
  <c r="F18" i="21"/>
  <c r="C18" i="21"/>
  <c r="B18" i="21"/>
  <c r="G17" i="21"/>
  <c r="H17" i="21" s="1"/>
  <c r="F17" i="21"/>
  <c r="C17" i="21"/>
  <c r="B17" i="21"/>
  <c r="F16" i="21"/>
  <c r="C16" i="21"/>
  <c r="B16" i="21"/>
  <c r="F15" i="21"/>
  <c r="C15" i="21"/>
  <c r="B15" i="21"/>
  <c r="H14" i="21"/>
  <c r="G14" i="21"/>
  <c r="F14" i="21"/>
  <c r="C14" i="21"/>
  <c r="E14" i="21" s="1"/>
  <c r="B14" i="21"/>
  <c r="F13" i="21"/>
  <c r="C13" i="21"/>
  <c r="B13" i="21"/>
  <c r="G12" i="21"/>
  <c r="H12" i="21" s="1"/>
  <c r="F12" i="21"/>
  <c r="C12" i="21"/>
  <c r="B12" i="21"/>
  <c r="F11" i="21"/>
  <c r="C11" i="21"/>
  <c r="B11" i="21"/>
  <c r="G10" i="21"/>
  <c r="H10" i="21" s="1"/>
  <c r="F10" i="21"/>
  <c r="C10" i="21"/>
  <c r="B10" i="21"/>
  <c r="F9" i="21"/>
  <c r="C9" i="21"/>
  <c r="B9" i="21"/>
  <c r="G8" i="21"/>
  <c r="H8" i="21" s="1"/>
  <c r="F8" i="21"/>
  <c r="B8" i="21"/>
  <c r="G7" i="21"/>
  <c r="H7" i="21" s="1"/>
  <c r="E7" i="21"/>
  <c r="C7" i="21"/>
  <c r="B7" i="21"/>
  <c r="F6" i="21"/>
  <c r="C6" i="21"/>
  <c r="B6" i="21"/>
  <c r="F5" i="21"/>
  <c r="C5" i="21"/>
  <c r="B5" i="21"/>
  <c r="D11" i="20"/>
  <c r="G11" i="20" s="1"/>
  <c r="H11" i="20" s="1"/>
  <c r="D12" i="20"/>
  <c r="G12" i="20" s="1"/>
  <c r="H12" i="20" s="1"/>
  <c r="D10" i="20"/>
  <c r="D9" i="20"/>
  <c r="E9" i="20" s="1"/>
  <c r="D6" i="20"/>
  <c r="G6" i="20" s="1"/>
  <c r="H6" i="20" s="1"/>
  <c r="D5" i="20"/>
  <c r="E5" i="20" s="1"/>
  <c r="D17" i="20"/>
  <c r="G17" i="20" s="1"/>
  <c r="H17" i="20" s="1"/>
  <c r="D16" i="20"/>
  <c r="D18" i="20"/>
  <c r="G18" i="20" s="1"/>
  <c r="H18" i="20" s="1"/>
  <c r="D15" i="20"/>
  <c r="D13" i="20"/>
  <c r="G23" i="20"/>
  <c r="F23" i="20"/>
  <c r="H23" i="20" s="1"/>
  <c r="C23" i="20"/>
  <c r="E23" i="20" s="1"/>
  <c r="G22" i="20"/>
  <c r="H22" i="20" s="1"/>
  <c r="F22" i="20"/>
  <c r="C22" i="20"/>
  <c r="B22" i="20"/>
  <c r="H21" i="20"/>
  <c r="F21" i="20"/>
  <c r="C21" i="20"/>
  <c r="B21" i="20"/>
  <c r="G20" i="20"/>
  <c r="F20" i="20"/>
  <c r="H20" i="20" s="1"/>
  <c r="C20" i="20"/>
  <c r="E20" i="20" s="1"/>
  <c r="B20" i="20"/>
  <c r="H19" i="20"/>
  <c r="F19" i="20"/>
  <c r="C19" i="20"/>
  <c r="B19" i="20"/>
  <c r="F18" i="20"/>
  <c r="C18" i="20"/>
  <c r="B18" i="20"/>
  <c r="F17" i="20"/>
  <c r="C17" i="20"/>
  <c r="B17" i="20"/>
  <c r="F16" i="20"/>
  <c r="E16" i="20"/>
  <c r="C16" i="20"/>
  <c r="B16" i="20"/>
  <c r="G15" i="20"/>
  <c r="H15" i="20" s="1"/>
  <c r="F15" i="20"/>
  <c r="E15" i="20"/>
  <c r="C15" i="20"/>
  <c r="B15" i="20"/>
  <c r="H14" i="20"/>
  <c r="G14" i="20"/>
  <c r="F14" i="20"/>
  <c r="C14" i="20"/>
  <c r="E14" i="20" s="1"/>
  <c r="B14" i="20"/>
  <c r="F13" i="20"/>
  <c r="E13" i="20"/>
  <c r="C13" i="20"/>
  <c r="B13" i="20"/>
  <c r="F12" i="20"/>
  <c r="E12" i="20"/>
  <c r="C12" i="20"/>
  <c r="B12" i="20"/>
  <c r="F11" i="20"/>
  <c r="C11" i="20"/>
  <c r="B11" i="20"/>
  <c r="G10" i="20"/>
  <c r="H10" i="20" s="1"/>
  <c r="F10" i="20"/>
  <c r="C10" i="20"/>
  <c r="E10" i="20" s="1"/>
  <c r="B10" i="20"/>
  <c r="F9" i="20"/>
  <c r="C9" i="20"/>
  <c r="B9" i="20"/>
  <c r="G8" i="20"/>
  <c r="H8" i="20" s="1"/>
  <c r="F8" i="20"/>
  <c r="B8" i="20"/>
  <c r="G7" i="20"/>
  <c r="H7" i="20" s="1"/>
  <c r="F7" i="20"/>
  <c r="E7" i="20"/>
  <c r="C7" i="20"/>
  <c r="B7" i="20"/>
  <c r="F6" i="20"/>
  <c r="C6" i="20"/>
  <c r="B6" i="20"/>
  <c r="F5" i="20"/>
  <c r="C5" i="20"/>
  <c r="B5" i="20"/>
  <c r="D10" i="19"/>
  <c r="E10" i="19" s="1"/>
  <c r="D16" i="19"/>
  <c r="E16" i="19" s="1"/>
  <c r="D17" i="19"/>
  <c r="E17" i="19" s="1"/>
  <c r="D12" i="19"/>
  <c r="D9" i="19"/>
  <c r="D6" i="19"/>
  <c r="D5" i="19"/>
  <c r="D18" i="19"/>
  <c r="D13" i="15"/>
  <c r="D15" i="19"/>
  <c r="D13" i="19"/>
  <c r="G13" i="19"/>
  <c r="H13" i="19"/>
  <c r="G23" i="19"/>
  <c r="H23" i="19"/>
  <c r="F23" i="19"/>
  <c r="C23" i="19"/>
  <c r="E23" i="19"/>
  <c r="G22" i="19"/>
  <c r="H22" i="19"/>
  <c r="F22" i="19"/>
  <c r="C22" i="19"/>
  <c r="B22" i="19"/>
  <c r="F21" i="19"/>
  <c r="H21" i="19"/>
  <c r="C21" i="19"/>
  <c r="B21" i="19"/>
  <c r="G20" i="19"/>
  <c r="H20" i="19"/>
  <c r="F20" i="19"/>
  <c r="E20" i="19"/>
  <c r="C20" i="19"/>
  <c r="B20" i="19"/>
  <c r="F19" i="19"/>
  <c r="H19" i="19"/>
  <c r="C19" i="19"/>
  <c r="B19" i="19"/>
  <c r="G18" i="19"/>
  <c r="H18" i="19"/>
  <c r="F18" i="19"/>
  <c r="E18" i="19"/>
  <c r="C18" i="19"/>
  <c r="B18" i="19"/>
  <c r="F17" i="19"/>
  <c r="C17" i="19"/>
  <c r="B17" i="19"/>
  <c r="G16" i="19"/>
  <c r="H16" i="19" s="1"/>
  <c r="F16" i="19"/>
  <c r="C16" i="19"/>
  <c r="B16" i="19"/>
  <c r="F15" i="19"/>
  <c r="G15" i="19"/>
  <c r="H15" i="19"/>
  <c r="C15" i="19"/>
  <c r="B15" i="19"/>
  <c r="G14" i="19"/>
  <c r="H14" i="19"/>
  <c r="F14" i="19"/>
  <c r="C14" i="19"/>
  <c r="E14" i="19"/>
  <c r="B14" i="19"/>
  <c r="F13" i="19"/>
  <c r="E13" i="19"/>
  <c r="C13" i="19"/>
  <c r="B13" i="19"/>
  <c r="F12" i="19"/>
  <c r="G12" i="19"/>
  <c r="H12" i="19" s="1"/>
  <c r="C12" i="19"/>
  <c r="B12" i="19"/>
  <c r="G11" i="19"/>
  <c r="H11" i="19"/>
  <c r="F11" i="19"/>
  <c r="D11" i="19"/>
  <c r="E11" i="19"/>
  <c r="C11" i="19"/>
  <c r="B11" i="19"/>
  <c r="G10" i="19"/>
  <c r="H10" i="19" s="1"/>
  <c r="F10" i="19"/>
  <c r="C10" i="19"/>
  <c r="B10" i="19"/>
  <c r="G9" i="19"/>
  <c r="H9" i="19"/>
  <c r="F9" i="19"/>
  <c r="E9" i="19"/>
  <c r="C9" i="19"/>
  <c r="B9" i="19"/>
  <c r="H8" i="19"/>
  <c r="G8" i="19"/>
  <c r="F8" i="19"/>
  <c r="B8" i="19"/>
  <c r="H7" i="19"/>
  <c r="G7" i="19"/>
  <c r="F7" i="19"/>
  <c r="C7" i="19"/>
  <c r="E7" i="19"/>
  <c r="B7" i="19"/>
  <c r="G6" i="19"/>
  <c r="H6" i="19"/>
  <c r="F6" i="19"/>
  <c r="E6" i="19"/>
  <c r="C6" i="19"/>
  <c r="B6" i="19"/>
  <c r="G5" i="19"/>
  <c r="H5" i="19"/>
  <c r="F5" i="19"/>
  <c r="E5" i="19"/>
  <c r="C5" i="19"/>
  <c r="B5" i="19"/>
  <c r="D6" i="18"/>
  <c r="D10" i="18"/>
  <c r="D12" i="18"/>
  <c r="D11" i="18"/>
  <c r="D9" i="18"/>
  <c r="D5" i="18"/>
  <c r="E12" i="19"/>
  <c r="E15" i="19"/>
  <c r="D17" i="18"/>
  <c r="D16" i="18"/>
  <c r="D15" i="18"/>
  <c r="D18" i="18"/>
  <c r="D13" i="18"/>
  <c r="E13" i="18"/>
  <c r="G23" i="18"/>
  <c r="H23" i="18"/>
  <c r="F23" i="18"/>
  <c r="C23" i="18"/>
  <c r="E23" i="18"/>
  <c r="G22" i="18"/>
  <c r="H22" i="18"/>
  <c r="F22" i="18"/>
  <c r="C22" i="18"/>
  <c r="B22" i="18"/>
  <c r="F21" i="18"/>
  <c r="H21" i="18"/>
  <c r="C21" i="18"/>
  <c r="B21" i="18"/>
  <c r="G20" i="18"/>
  <c r="H20" i="18"/>
  <c r="F20" i="18"/>
  <c r="E20" i="18"/>
  <c r="C20" i="18"/>
  <c r="B20" i="18"/>
  <c r="H19" i="18"/>
  <c r="F19" i="18"/>
  <c r="C19" i="18"/>
  <c r="B19" i="18"/>
  <c r="F18" i="18"/>
  <c r="G18" i="18"/>
  <c r="H18" i="18"/>
  <c r="C18" i="18"/>
  <c r="B18" i="18"/>
  <c r="G17" i="18"/>
  <c r="H17" i="18"/>
  <c r="F17" i="18"/>
  <c r="C17" i="18"/>
  <c r="E17" i="18"/>
  <c r="B17" i="18"/>
  <c r="F16" i="18"/>
  <c r="E16" i="18"/>
  <c r="C16" i="18"/>
  <c r="B16" i="18"/>
  <c r="G15" i="18"/>
  <c r="H15" i="18"/>
  <c r="F15" i="18"/>
  <c r="E15" i="18"/>
  <c r="C15" i="18"/>
  <c r="B15" i="18"/>
  <c r="H14" i="18"/>
  <c r="G14" i="18"/>
  <c r="F14" i="18"/>
  <c r="C14" i="18"/>
  <c r="E14" i="18"/>
  <c r="B14" i="18"/>
  <c r="F13" i="18"/>
  <c r="C13" i="18"/>
  <c r="B13" i="18"/>
  <c r="G12" i="18"/>
  <c r="H12" i="18"/>
  <c r="F12" i="18"/>
  <c r="E12" i="18"/>
  <c r="C12" i="18"/>
  <c r="B12" i="18"/>
  <c r="F11" i="18"/>
  <c r="G11" i="18"/>
  <c r="H11" i="18"/>
  <c r="C11" i="18"/>
  <c r="B11" i="18"/>
  <c r="G10" i="18"/>
  <c r="H10" i="18"/>
  <c r="F10" i="18"/>
  <c r="C10" i="18"/>
  <c r="E10" i="18"/>
  <c r="B10" i="18"/>
  <c r="F9" i="18"/>
  <c r="E9" i="18"/>
  <c r="C9" i="18"/>
  <c r="B9" i="18"/>
  <c r="G8" i="18"/>
  <c r="H8" i="18"/>
  <c r="F8" i="18"/>
  <c r="B8" i="18"/>
  <c r="G7" i="18"/>
  <c r="H7" i="18"/>
  <c r="F7" i="18"/>
  <c r="E7" i="18"/>
  <c r="C7" i="18"/>
  <c r="B7" i="18"/>
  <c r="G6" i="18"/>
  <c r="H6" i="18"/>
  <c r="F6" i="18"/>
  <c r="C6" i="18"/>
  <c r="E6" i="18"/>
  <c r="B6" i="18"/>
  <c r="F5" i="18"/>
  <c r="E5" i="18"/>
  <c r="C5" i="18"/>
  <c r="B5" i="18"/>
  <c r="H7" i="17"/>
  <c r="G14" i="17"/>
  <c r="G5" i="18"/>
  <c r="H5" i="18"/>
  <c r="G9" i="18"/>
  <c r="H9" i="18"/>
  <c r="E11" i="18"/>
  <c r="G13" i="18"/>
  <c r="H13" i="18"/>
  <c r="G16" i="18"/>
  <c r="H16" i="18"/>
  <c r="E18" i="18"/>
  <c r="D17" i="17"/>
  <c r="E17" i="17"/>
  <c r="D16" i="17"/>
  <c r="G17" i="17"/>
  <c r="G16" i="17"/>
  <c r="H16" i="17"/>
  <c r="G13" i="17"/>
  <c r="H13" i="17"/>
  <c r="D13" i="17"/>
  <c r="G12" i="17"/>
  <c r="H12" i="17"/>
  <c r="D12" i="17"/>
  <c r="G11" i="17"/>
  <c r="H11" i="17"/>
  <c r="D11" i="17"/>
  <c r="E11" i="17"/>
  <c r="G10" i="17"/>
  <c r="D10" i="17"/>
  <c r="G9" i="17"/>
  <c r="H9" i="17"/>
  <c r="G6" i="17"/>
  <c r="D6" i="17"/>
  <c r="E6" i="17"/>
  <c r="D5" i="17"/>
  <c r="G5" i="17"/>
  <c r="H5" i="17"/>
  <c r="H21" i="17"/>
  <c r="G15" i="17"/>
  <c r="D15" i="17"/>
  <c r="G20" i="17"/>
  <c r="H20" i="17"/>
  <c r="G18" i="17"/>
  <c r="D18" i="17"/>
  <c r="G23" i="17"/>
  <c r="F23" i="17"/>
  <c r="H23" i="17"/>
  <c r="C23" i="17"/>
  <c r="E23" i="17"/>
  <c r="G22" i="17"/>
  <c r="H22" i="17"/>
  <c r="F22" i="17"/>
  <c r="C22" i="17"/>
  <c r="B22" i="17"/>
  <c r="F21" i="17"/>
  <c r="C21" i="17"/>
  <c r="B21" i="17"/>
  <c r="F20" i="17"/>
  <c r="E20" i="17"/>
  <c r="C20" i="17"/>
  <c r="B20" i="17"/>
  <c r="F19" i="17"/>
  <c r="H19" i="17"/>
  <c r="C19" i="17"/>
  <c r="B19" i="17"/>
  <c r="F18" i="17"/>
  <c r="C18" i="17"/>
  <c r="B18" i="17"/>
  <c r="F17" i="17"/>
  <c r="C17" i="17"/>
  <c r="B17" i="17"/>
  <c r="F16" i="17"/>
  <c r="C16" i="17"/>
  <c r="E16" i="17"/>
  <c r="B16" i="17"/>
  <c r="F15" i="17"/>
  <c r="E15" i="17"/>
  <c r="C15" i="17"/>
  <c r="B15" i="17"/>
  <c r="H14" i="17"/>
  <c r="F14" i="17"/>
  <c r="C14" i="17"/>
  <c r="E14" i="17"/>
  <c r="B14" i="17"/>
  <c r="F13" i="17"/>
  <c r="E13" i="17"/>
  <c r="C13" i="17"/>
  <c r="B13" i="17"/>
  <c r="F12" i="17"/>
  <c r="C12" i="17"/>
  <c r="B12" i="17"/>
  <c r="F11" i="17"/>
  <c r="C11" i="17"/>
  <c r="B11" i="17"/>
  <c r="H10" i="17"/>
  <c r="F10" i="17"/>
  <c r="E10" i="17"/>
  <c r="C10" i="17"/>
  <c r="B10" i="17"/>
  <c r="F9" i="17"/>
  <c r="E9" i="17"/>
  <c r="D9" i="17"/>
  <c r="C9" i="17"/>
  <c r="B9" i="17"/>
  <c r="H8" i="17"/>
  <c r="G8" i="17"/>
  <c r="F8" i="17"/>
  <c r="B8" i="17"/>
  <c r="G7" i="17"/>
  <c r="F7" i="17"/>
  <c r="C7" i="17"/>
  <c r="E7" i="17"/>
  <c r="B7" i="17"/>
  <c r="F6" i="17"/>
  <c r="H6" i="17"/>
  <c r="C6" i="17"/>
  <c r="B6" i="17"/>
  <c r="F5" i="17"/>
  <c r="C5" i="17"/>
  <c r="E5" i="17"/>
  <c r="B5" i="17"/>
  <c r="H23" i="16"/>
  <c r="G23" i="16"/>
  <c r="F23" i="16"/>
  <c r="E23" i="16"/>
  <c r="C23" i="16"/>
  <c r="G22" i="16"/>
  <c r="H22" i="16"/>
  <c r="C22" i="16"/>
  <c r="C21" i="16"/>
  <c r="G20" i="16"/>
  <c r="C20" i="16"/>
  <c r="C19" i="16"/>
  <c r="G18" i="16"/>
  <c r="C18" i="16"/>
  <c r="G17" i="16"/>
  <c r="G16" i="16"/>
  <c r="H16" i="16"/>
  <c r="C17" i="16"/>
  <c r="E17" i="16"/>
  <c r="C16" i="16"/>
  <c r="G15" i="16"/>
  <c r="C15" i="16"/>
  <c r="G14" i="16"/>
  <c r="C14" i="16"/>
  <c r="G13" i="16"/>
  <c r="C13" i="16"/>
  <c r="G12" i="16"/>
  <c r="H12" i="16"/>
  <c r="C12" i="16"/>
  <c r="G11" i="16"/>
  <c r="C11" i="16"/>
  <c r="G10" i="16"/>
  <c r="H10" i="16"/>
  <c r="E10" i="16"/>
  <c r="C10" i="16"/>
  <c r="G9" i="16"/>
  <c r="D9" i="16"/>
  <c r="C9" i="16"/>
  <c r="G8" i="16"/>
  <c r="H8" i="16"/>
  <c r="H7" i="16"/>
  <c r="G7" i="16"/>
  <c r="E7" i="16"/>
  <c r="H7" i="15"/>
  <c r="G7" i="15"/>
  <c r="E7" i="15"/>
  <c r="C7" i="16"/>
  <c r="G6" i="16"/>
  <c r="H6" i="16"/>
  <c r="G5" i="16"/>
  <c r="H5" i="16"/>
  <c r="C6" i="16"/>
  <c r="C5" i="16"/>
  <c r="E5" i="16"/>
  <c r="F22" i="16"/>
  <c r="B22" i="16"/>
  <c r="H21" i="16"/>
  <c r="F21" i="16"/>
  <c r="B21" i="16"/>
  <c r="H20" i="16"/>
  <c r="F20" i="16"/>
  <c r="E20" i="16"/>
  <c r="B20" i="16"/>
  <c r="F19" i="16"/>
  <c r="H19" i="16"/>
  <c r="B19" i="16"/>
  <c r="F18" i="16"/>
  <c r="B18" i="16"/>
  <c r="H17" i="16"/>
  <c r="F17" i="16"/>
  <c r="B17" i="16"/>
  <c r="F16" i="16"/>
  <c r="B16" i="16"/>
  <c r="H15" i="16"/>
  <c r="F15" i="16"/>
  <c r="E15" i="16"/>
  <c r="B15" i="16"/>
  <c r="F14" i="16"/>
  <c r="B14" i="16"/>
  <c r="F13" i="16"/>
  <c r="B13" i="16"/>
  <c r="F12" i="16"/>
  <c r="B12" i="16"/>
  <c r="F11" i="16"/>
  <c r="E11" i="16"/>
  <c r="B11" i="16"/>
  <c r="F10" i="16"/>
  <c r="B10" i="16"/>
  <c r="F9" i="16"/>
  <c r="B9" i="16"/>
  <c r="F8" i="16"/>
  <c r="B8" i="16"/>
  <c r="F7" i="16"/>
  <c r="B7" i="16"/>
  <c r="F6" i="16"/>
  <c r="E6" i="16"/>
  <c r="B6" i="16"/>
  <c r="F5" i="16"/>
  <c r="B5" i="16"/>
  <c r="D9" i="15"/>
  <c r="D9" i="4"/>
  <c r="H17" i="17"/>
  <c r="E12" i="17"/>
  <c r="H15" i="17"/>
  <c r="H18" i="17"/>
  <c r="E18" i="17"/>
  <c r="H18" i="16"/>
  <c r="E18" i="16"/>
  <c r="E14" i="16"/>
  <c r="H13" i="16"/>
  <c r="E13" i="16"/>
  <c r="E12" i="16"/>
  <c r="H11" i="16"/>
  <c r="H9" i="16"/>
  <c r="E9" i="16"/>
  <c r="H14" i="16"/>
  <c r="E16" i="16"/>
  <c r="B7" i="15"/>
  <c r="C14" i="15"/>
  <c r="E9" i="15"/>
  <c r="G6" i="15"/>
  <c r="D6" i="15"/>
  <c r="D16" i="15"/>
  <c r="D10" i="15"/>
  <c r="G9" i="15"/>
  <c r="D8" i="15"/>
  <c r="E5" i="15"/>
  <c r="D22" i="15"/>
  <c r="D12" i="15"/>
  <c r="D17" i="15"/>
  <c r="G17" i="15"/>
  <c r="H17" i="15"/>
  <c r="H20" i="15"/>
  <c r="D18" i="15"/>
  <c r="D15" i="15"/>
  <c r="G22" i="15"/>
  <c r="H22" i="15"/>
  <c r="F22" i="15"/>
  <c r="C22" i="15"/>
  <c r="E22" i="15"/>
  <c r="B22" i="15"/>
  <c r="H21" i="15"/>
  <c r="F21" i="15"/>
  <c r="C21" i="15"/>
  <c r="B21" i="15"/>
  <c r="G20" i="15"/>
  <c r="F20" i="15"/>
  <c r="E20" i="15"/>
  <c r="C20" i="15"/>
  <c r="B20" i="15"/>
  <c r="F19" i="15"/>
  <c r="H19" i="15"/>
  <c r="C19" i="15"/>
  <c r="B19" i="15"/>
  <c r="F18" i="15"/>
  <c r="E18" i="15"/>
  <c r="C18" i="15"/>
  <c r="B18" i="15"/>
  <c r="G18" i="15"/>
  <c r="H18" i="15"/>
  <c r="F17" i="15"/>
  <c r="C17" i="15"/>
  <c r="B17" i="15"/>
  <c r="F16" i="15"/>
  <c r="G16" i="15"/>
  <c r="H16" i="15"/>
  <c r="C16" i="15"/>
  <c r="B16" i="15"/>
  <c r="G15" i="15"/>
  <c r="H15" i="15"/>
  <c r="F15" i="15"/>
  <c r="E15" i="15"/>
  <c r="C15" i="15"/>
  <c r="B15" i="15"/>
  <c r="F14" i="15"/>
  <c r="E14" i="15"/>
  <c r="B14" i="15"/>
  <c r="G14" i="15"/>
  <c r="H14" i="15"/>
  <c r="F13" i="15"/>
  <c r="G13" i="15"/>
  <c r="H13" i="15"/>
  <c r="C13" i="15"/>
  <c r="B13" i="15"/>
  <c r="G12" i="15"/>
  <c r="H12" i="15"/>
  <c r="F12" i="15"/>
  <c r="E12" i="15"/>
  <c r="C12" i="15"/>
  <c r="B12" i="15"/>
  <c r="F11" i="15"/>
  <c r="E11" i="15"/>
  <c r="C11" i="15"/>
  <c r="B11" i="15"/>
  <c r="G11" i="15"/>
  <c r="H11" i="15"/>
  <c r="F10" i="15"/>
  <c r="G10" i="15"/>
  <c r="H10" i="15"/>
  <c r="C10" i="15"/>
  <c r="B10" i="15"/>
  <c r="H9" i="15"/>
  <c r="F9" i="15"/>
  <c r="C9" i="15"/>
  <c r="B9" i="15"/>
  <c r="G8" i="15"/>
  <c r="H8" i="15"/>
  <c r="F8" i="15"/>
  <c r="C8" i="15"/>
  <c r="E8" i="15"/>
  <c r="B8" i="15"/>
  <c r="F7" i="15"/>
  <c r="C7" i="15"/>
  <c r="H6" i="15"/>
  <c r="F6" i="15"/>
  <c r="E6" i="15"/>
  <c r="C6" i="15"/>
  <c r="B6" i="15"/>
  <c r="F5" i="15"/>
  <c r="C5" i="15"/>
  <c r="B5" i="15"/>
  <c r="H5" i="15"/>
  <c r="E17" i="15"/>
  <c r="E10" i="15"/>
  <c r="E16" i="15"/>
  <c r="E13" i="15"/>
  <c r="G5" i="4"/>
  <c r="H14" i="4"/>
  <c r="G12" i="4"/>
  <c r="F5" i="4"/>
  <c r="F6" i="4"/>
  <c r="F7" i="4"/>
  <c r="F8" i="4"/>
  <c r="F9" i="4"/>
  <c r="F10" i="4"/>
  <c r="F11" i="4"/>
  <c r="F12" i="4"/>
  <c r="H12" i="4"/>
  <c r="F13" i="4"/>
  <c r="F14" i="4"/>
  <c r="F15" i="4"/>
  <c r="F16" i="4"/>
  <c r="F17" i="4"/>
  <c r="F18" i="4"/>
  <c r="F19" i="4"/>
  <c r="H19" i="4"/>
  <c r="F20" i="4"/>
  <c r="F21" i="4"/>
  <c r="F22" i="4"/>
  <c r="B5" i="4"/>
  <c r="B6" i="4"/>
  <c r="B7" i="4"/>
  <c r="B8" i="4"/>
  <c r="B9" i="4"/>
  <c r="B10" i="4"/>
  <c r="B11" i="4"/>
  <c r="B12" i="4"/>
  <c r="B13" i="4"/>
  <c r="G13" i="4"/>
  <c r="H13" i="4"/>
  <c r="B14" i="4"/>
  <c r="B15" i="4"/>
  <c r="G15" i="4"/>
  <c r="H15" i="4"/>
  <c r="B16" i="4"/>
  <c r="B17" i="4"/>
  <c r="B18" i="4"/>
  <c r="B19" i="4"/>
  <c r="B20" i="4"/>
  <c r="B21" i="4"/>
  <c r="B22" i="4"/>
  <c r="G18" i="4"/>
  <c r="G16" i="4"/>
  <c r="G14" i="4"/>
  <c r="G11" i="4"/>
  <c r="H11" i="4"/>
  <c r="G7" i="4"/>
  <c r="G6" i="4"/>
  <c r="C13" i="4"/>
  <c r="E13" i="4"/>
  <c r="G8" i="4"/>
  <c r="H8" i="4"/>
  <c r="G10" i="4"/>
  <c r="H10" i="4"/>
  <c r="G17" i="4"/>
  <c r="H17" i="4"/>
  <c r="G20" i="4"/>
  <c r="H21" i="4"/>
  <c r="G22" i="4"/>
  <c r="C22" i="4"/>
  <c r="E22" i="4"/>
  <c r="C21" i="4"/>
  <c r="C20" i="4"/>
  <c r="E20" i="4"/>
  <c r="C19" i="4"/>
  <c r="C18" i="4"/>
  <c r="E18" i="4"/>
  <c r="C17" i="4"/>
  <c r="E17" i="4"/>
  <c r="C16" i="4"/>
  <c r="E16" i="4"/>
  <c r="C15" i="4"/>
  <c r="E15" i="4"/>
  <c r="C14" i="4"/>
  <c r="C12" i="4"/>
  <c r="E12" i="4"/>
  <c r="C11" i="4"/>
  <c r="E11" i="4"/>
  <c r="C10" i="4"/>
  <c r="E10" i="4"/>
  <c r="C9" i="4"/>
  <c r="C8" i="4"/>
  <c r="E8" i="4"/>
  <c r="C7" i="4"/>
  <c r="E7" i="4"/>
  <c r="H7" i="4"/>
  <c r="C6" i="4"/>
  <c r="E6" i="4"/>
  <c r="C5" i="4"/>
  <c r="H5" i="4"/>
  <c r="H6" i="4"/>
  <c r="H16" i="4"/>
  <c r="E9" i="4"/>
  <c r="E5" i="4"/>
  <c r="H18" i="4"/>
  <c r="G9" i="4"/>
  <c r="H9" i="4"/>
  <c r="E17" i="21" l="1"/>
  <c r="G15" i="21"/>
  <c r="H15" i="21" s="1"/>
  <c r="E10" i="21"/>
  <c r="H6" i="21"/>
  <c r="E6" i="21"/>
  <c r="G5" i="21"/>
  <c r="G9" i="21"/>
  <c r="H9" i="21" s="1"/>
  <c r="E11" i="21"/>
  <c r="G13" i="21"/>
  <c r="H13" i="21" s="1"/>
  <c r="G16" i="21"/>
  <c r="H16" i="21" s="1"/>
  <c r="E18" i="21"/>
  <c r="E6" i="20"/>
  <c r="E17" i="20"/>
  <c r="G5" i="20"/>
  <c r="H5" i="20" s="1"/>
  <c r="G9" i="20"/>
  <c r="H9" i="20" s="1"/>
  <c r="E11" i="20"/>
  <c r="G13" i="20"/>
  <c r="H13" i="20" s="1"/>
  <c r="G16" i="20"/>
  <c r="H16" i="20" s="1"/>
  <c r="E18" i="20"/>
  <c r="G17" i="19"/>
  <c r="H17" i="19" s="1"/>
  <c r="H5" i="21" l="1"/>
</calcChain>
</file>

<file path=xl/sharedStrings.xml><?xml version="1.0" encoding="utf-8"?>
<sst xmlns="http://schemas.openxmlformats.org/spreadsheetml/2006/main" count="414" uniqueCount="88">
  <si>
    <t>Indicador</t>
  </si>
  <si>
    <t>Periodicidad</t>
  </si>
  <si>
    <t>Acumulación</t>
  </si>
  <si>
    <t>Línea Base</t>
  </si>
  <si>
    <t>Meta 2020</t>
  </si>
  <si>
    <t>Colombianos en el exterior registrados en el sistema de información de registro consular</t>
  </si>
  <si>
    <t>Anual</t>
  </si>
  <si>
    <t>Capacidad</t>
  </si>
  <si>
    <t>Consulados móviles, sábados consulares, y jornadas continuas o extendidas realizados</t>
  </si>
  <si>
    <t>Mensual</t>
  </si>
  <si>
    <t>Acumulado</t>
  </si>
  <si>
    <t>Consulados que cuenten con asesor jurídico y/o social</t>
  </si>
  <si>
    <t>Trámites y servicios a los que se puede acceder a través de la aplicación móvil Miconsulado</t>
  </si>
  <si>
    <t>Semestral</t>
  </si>
  <si>
    <t>Consulados que cuenten con una guía del inmigrante, propia</t>
  </si>
  <si>
    <t>Encuentros consulares realizados</t>
  </si>
  <si>
    <t>Trimestral</t>
  </si>
  <si>
    <t>Ferias de servicio realizadas</t>
  </si>
  <si>
    <t>Acciones de diplomacia cultural realizadas</t>
  </si>
  <si>
    <t>Visas otorgadas a migrantes y visitantes</t>
  </si>
  <si>
    <t>Sistemas de automatización migratoria en aeropuertos internacionales con mayor flujo migratorio implementados</t>
  </si>
  <si>
    <t>Candidaturas de Colombia gestionadas en escenarios internacionales</t>
  </si>
  <si>
    <t>Porcentaje de implementación de la estrategia para el mapeo de la participación del país en instancias internacionales</t>
  </si>
  <si>
    <t>Porcentaje de implementación de una estrategia para hacer seguimiento y evaluación a las resoluciones y declaraciones de Colombia, como proponente o copatrocinador, aceptadas en organismos multilaterales</t>
  </si>
  <si>
    <t>Iniciativas de desarrollo e integración fronteriza y fortalecimiento del Estado en las zonas de frontera implementadas</t>
  </si>
  <si>
    <t>https://sinergiapp.dnp.gov.co/#IndicadorProgEntSI/33/1481/5822</t>
  </si>
  <si>
    <t>https://sinergiapp.dnp.gov.co/#IndicadorProgEntSI/33/1481/5823</t>
  </si>
  <si>
    <t>https://sinergiapp.dnp.gov.co/#IndicadorProgEntSI/33/1481/5824</t>
  </si>
  <si>
    <t>https://sinergiapp.dnp.gov.co/#IndicadorProgEntSI/33/1481/5825</t>
  </si>
  <si>
    <t>https://sinergiapp.dnp.gov.co/#IndicadorProgEntSI/33/1481/5826</t>
  </si>
  <si>
    <t>https://sinergiapp.dnp.gov.co/#IndicadorProgEntSI/33/1481/5827</t>
  </si>
  <si>
    <t>https://sinergiapp.dnp.gov.co/#IndicadorProgEntSI/33/1481/5828</t>
  </si>
  <si>
    <t>https://sinergiapp.dnp.gov.co/#IndicadorProgEntSI/33/1483/5830</t>
  </si>
  <si>
    <t>https://sinergiapp.dnp.gov.co/#IndicadorProgEntSI/33/1483/5831</t>
  </si>
  <si>
    <t>https://sinergiapp.dnp.gov.co/#IndicadorProgEntSI/33/1482/5829</t>
  </si>
  <si>
    <t>https://sinergiapp.dnp.gov.co/#IndicadorProgEntSI/33/1484/5832</t>
  </si>
  <si>
    <t>https://sinergiapp.dnp.gov.co/#IndicadorProgEntSI/33/1484/5833</t>
  </si>
  <si>
    <t>https://sinergiapp.dnp.gov.co/#IndicadorProgEntSI/33/1484/5834</t>
  </si>
  <si>
    <t>https://sinergiapp.dnp.gov.co/#IndicadorProgEntSI/33/1485/5835</t>
  </si>
  <si>
    <t>https://sinergiapp.dnp.gov.co/#IndicadorProgEntSI/33/1480/5821</t>
  </si>
  <si>
    <t>Meta Cuatrienio
(2019-2022)</t>
  </si>
  <si>
    <t>Link consulta Sinergia</t>
  </si>
  <si>
    <t>N/A</t>
  </si>
  <si>
    <t>SECTOR RELACIONES EXTERIORES
SISTEMA DE SEGUIMIENTO A METAS DEL GOBIERNO
INDICADORES PND (2019-2022)</t>
  </si>
  <si>
    <t>Meta 2019</t>
  </si>
  <si>
    <t>Meta 2021</t>
  </si>
  <si>
    <t>Meta 2022</t>
  </si>
  <si>
    <t>* Metas sin acumular</t>
  </si>
  <si>
    <t>Porcentaje de países fronterizos priorizados en los que se incluye en la agenda bilateral la negociación de tratados en materia de doble o múltiple nacionalidad para Pueblos Indígenas. **</t>
  </si>
  <si>
    <t>CUATRIENIO 2019-2022</t>
  </si>
  <si>
    <t xml:space="preserve">Meta </t>
  </si>
  <si>
    <t>Avance acumulado 
Corte enero</t>
  </si>
  <si>
    <t>Porcentaje de avance</t>
  </si>
  <si>
    <t>Avance
Corte enero</t>
  </si>
  <si>
    <t>SECTOR RELACIONES EXTERIORES
SISTEMA DE SEGUIMIENTO A METAS DEL GOBIERNO
INDICADORES PLAN NACIONAL DE DESARROLLO 2019-2022
Avance con corte a 31 de diciembre de 2019</t>
  </si>
  <si>
    <t>Avance acumulado 
Corte diciembre</t>
  </si>
  <si>
    <t>Avance
Corte diciembre</t>
  </si>
  <si>
    <t>Meta de la
 vigencia *</t>
  </si>
  <si>
    <t>Meta de la 
vigencia *</t>
  </si>
  <si>
    <t>** Indicadores Grupo Étnicos</t>
  </si>
  <si>
    <t>a. Informe de seguimiento de Medidas Cautelares y provisionales ordenadas por organismos internacionales con pueblos indígenas, realizado**</t>
  </si>
  <si>
    <t>Proyecto productivo formulado y viabilizado **</t>
  </si>
  <si>
    <t>Porcentaje de países fronterizos priorizados en los que se incluye en la agenda bilateral la negociación de tratados en materia de doble o múltiple nacionalidad para Pueblos Indígenas**</t>
  </si>
  <si>
    <t>a. Informe de seguimiento de Medidas Cautelares y provisionales ordenadas por organismos internacionales con pueblos indígenas, realizado. **</t>
  </si>
  <si>
    <t>Porcentaje de avance en las gestiones para la apertura de la embajada de Etiopía, con el fin de afianzar la cooperación internacional **</t>
  </si>
  <si>
    <t>https://sinergiapp.dnp.gov.co/#IndicadorProgEntPI/33/null/6659</t>
  </si>
  <si>
    <t>https://sinergiapp.dnp.gov.co/#IndicadorProgEntPI/33/null/6657</t>
  </si>
  <si>
    <t>https://sinergiapp.dnp.gov.co/#IndicadorProgEntPI/33/null/6666</t>
  </si>
  <si>
    <t>Flujo</t>
  </si>
  <si>
    <t>SECTOR RELACIONES EXTERIORES
SISTEMA DE SEGUIMIENTO A METAS DEL GOBIERNO
INDICADORES PLAN NACIONAL DE DESARROLLO 2019-2022
Avance con corte a 31 de diciembre de 2020</t>
  </si>
  <si>
    <t>https://sinergiapp.dnp.gov.co/#IndicadorProgEntPI/33/null/7046</t>
  </si>
  <si>
    <t>Porcentaje de implementación de una estrategia de divulgación previa y el acceso a la presentación de la prueba escrita del Concurso de ingreso a la Carrera Diplomática y Consular para las comunidades negras, afrocolombianas, raizales y palenqueras**</t>
  </si>
  <si>
    <t>SECTOR RELACIONES EXTERIORES
SISTEMA DE SEGUIMIENTO A METAS DEL GOBIERNO
INDICADORES PLAN NACIONAL DE DESARROLLO 2019-2022
Avance con corte a 31 de enero de 2021</t>
  </si>
  <si>
    <t>SECTOR RELACIONES EXTERIORES
SISTEMA DE SEGUIMIENTO A METAS DEL GOBIERNO
INDICADORES PLAN NACIONAL DE DESARROLLO 2019-2022
Avance con corte a 28 de febrero de 2021</t>
  </si>
  <si>
    <t>Avance
Corte febrero</t>
  </si>
  <si>
    <t>Avance acumulado 
Corte febrero</t>
  </si>
  <si>
    <t>SECTOR RELACIONES EXTERIORES
SISTEMA DE SEGUIMIENTO A METAS DEL GOBIERNO
INDICADORES PLAN NACIONAL DE DESARROLLO 2019-2022
Avance con corte a 31 de marzo de 2021</t>
  </si>
  <si>
    <t>Avance
Corte marzo</t>
  </si>
  <si>
    <t>Avance acumulado 
Corte marzo</t>
  </si>
  <si>
    <t>SECTOR RELACIONES EXTERIORES
SISTEMA DE SEGUIMIENTO A METAS DEL GOBIERNO
INDICADORES PLAN NACIONAL DE DESARROLLO 2019-2022
Avance con corte a 30 de abril de 2021</t>
  </si>
  <si>
    <t>Avance
Corte abril</t>
  </si>
  <si>
    <t>Avance acumulado 
Corte abril</t>
  </si>
  <si>
    <t>SECTOR RELACIONES EXTERIORES
SISTEMA DE SEGUIMIENTO A METAS DEL GOBIERNO
INDICADORES PLAN NACIONAL DE DESARROLLO 2019-2022
Avance con corte a 31 de mayo de 2021</t>
  </si>
  <si>
    <t>Avance
Corte mayo</t>
  </si>
  <si>
    <t>Avance acumulado 
Corte mayo</t>
  </si>
  <si>
    <t>SECTOR RELACIONES EXTERIORES
SISTEMA DE SEGUIMIENTO A METAS DEL GOBIERNO
INDICADORES PLAN NACIONAL DE DESARROLLO 2019-2022
Avance con corte a 30 de junio de 2021</t>
  </si>
  <si>
    <t>Avance
Corte junio</t>
  </si>
  <si>
    <t>Avance acumulado 
Corte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</si>
</sst>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C0A]#,##0"/>
    <numFmt numFmtId="165" formatCode="0.0%"/>
  </numFmts>
  <fonts count="11" x14ac:knownFonts="1">
    <font>
      <sz val="11"/>
      <color rgb="FF000000"/>
      <name val="Calibri"/>
      <family val="2"/>
      <scheme val="minor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9" tint="-0.249977111117893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1"/>
      <color theme="9" tint="-0.249977111117893"/>
      <name val="Calibri"/>
      <family val="2"/>
      <scheme val="minor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6">
    <xf numFmtId="0" fontId="0" fillId="0" borderId="0" xfId="0" applyFont="1" applyFill="1" applyBorder="1"/>
    <xf numFmtId="0" fontId="1" fillId="0" borderId="0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9" fontId="2" fillId="0" borderId="1" xfId="1" applyFont="1" applyFill="1" applyBorder="1" applyAlignment="1">
      <alignment horizontal="center" vertical="center" wrapText="1" readingOrder="1"/>
    </xf>
    <xf numFmtId="9" fontId="2" fillId="2" borderId="1" xfId="1" applyFont="1" applyFill="1" applyBorder="1" applyAlignment="1">
      <alignment horizontal="center" vertical="center" wrapText="1" readingOrder="1"/>
    </xf>
    <xf numFmtId="9" fontId="1" fillId="2" borderId="2" xfId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vertical="center"/>
    </xf>
    <xf numFmtId="165" fontId="2" fillId="2" borderId="2" xfId="1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9" fontId="1" fillId="2" borderId="2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2" fillId="0" borderId="4" xfId="0" applyNumberFormat="1" applyFont="1" applyFill="1" applyBorder="1" applyAlignment="1">
      <alignment horizontal="center" vertical="center" wrapText="1" readingOrder="1"/>
    </xf>
    <xf numFmtId="0" fontId="2" fillId="0" borderId="5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1" fillId="2" borderId="8" xfId="0" applyFont="1" applyFill="1" applyBorder="1" applyAlignment="1">
      <alignment horizontal="left" vertical="center" wrapText="1"/>
    </xf>
    <xf numFmtId="0" fontId="2" fillId="0" borderId="7" xfId="0" applyNumberFormat="1" applyFont="1" applyFill="1" applyBorder="1" applyAlignment="1">
      <alignment horizontal="center" vertical="center" wrapText="1" readingOrder="1"/>
    </xf>
    <xf numFmtId="0" fontId="2" fillId="0" borderId="9" xfId="0" applyNumberFormat="1" applyFont="1" applyFill="1" applyBorder="1" applyAlignment="1">
      <alignment horizontal="center" vertical="center" wrapText="1" readingOrder="1"/>
    </xf>
    <xf numFmtId="164" fontId="2" fillId="0" borderId="7" xfId="0" applyNumberFormat="1" applyFont="1" applyFill="1" applyBorder="1" applyAlignment="1">
      <alignment horizontal="center" vertical="center" wrapText="1" readingOrder="1"/>
    </xf>
    <xf numFmtId="164" fontId="1" fillId="0" borderId="0" xfId="0" applyNumberFormat="1" applyFont="1" applyFill="1" applyBorder="1" applyAlignment="1">
      <alignment vertical="center"/>
    </xf>
    <xf numFmtId="9" fontId="2" fillId="2" borderId="2" xfId="1" applyFont="1" applyFill="1" applyBorder="1" applyAlignment="1">
      <alignment horizontal="center" vertical="center" wrapText="1" readingOrder="1"/>
    </xf>
    <xf numFmtId="164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9" fontId="1" fillId="3" borderId="2" xfId="0" applyNumberFormat="1" applyFont="1" applyFill="1" applyBorder="1" applyAlignment="1">
      <alignment horizontal="center" vertical="center"/>
    </xf>
    <xf numFmtId="9" fontId="1" fillId="3" borderId="2" xfId="1" applyFont="1" applyFill="1" applyBorder="1" applyAlignment="1">
      <alignment horizontal="center" vertical="center"/>
    </xf>
    <xf numFmtId="3" fontId="1" fillId="3" borderId="2" xfId="0" applyNumberFormat="1" applyFont="1" applyFill="1" applyBorder="1" applyAlignment="1">
      <alignment horizontal="center" vertical="center"/>
    </xf>
    <xf numFmtId="9" fontId="2" fillId="3" borderId="2" xfId="1" applyFont="1" applyFill="1" applyBorder="1" applyAlignment="1">
      <alignment horizontal="center" vertical="center" wrapText="1" readingOrder="1"/>
    </xf>
    <xf numFmtId="164" fontId="2" fillId="3" borderId="2" xfId="0" applyNumberFormat="1" applyFont="1" applyFill="1" applyBorder="1" applyAlignment="1">
      <alignment horizontal="center" vertical="center" wrapText="1" readingOrder="1"/>
    </xf>
    <xf numFmtId="165" fontId="1" fillId="3" borderId="2" xfId="1" applyNumberFormat="1" applyFont="1" applyFill="1" applyBorder="1" applyAlignment="1">
      <alignment horizontal="center" vertical="center"/>
    </xf>
    <xf numFmtId="9" fontId="1" fillId="3" borderId="2" xfId="1" applyNumberFormat="1" applyFont="1" applyFill="1" applyBorder="1" applyAlignment="1">
      <alignment horizontal="center" vertical="center"/>
    </xf>
    <xf numFmtId="9" fontId="2" fillId="2" borderId="6" xfId="1" applyFont="1" applyFill="1" applyBorder="1" applyAlignment="1">
      <alignment horizontal="center" vertical="center" wrapText="1" readingOrder="1"/>
    </xf>
    <xf numFmtId="9" fontId="2" fillId="3" borderId="2" xfId="0" applyNumberFormat="1" applyFont="1" applyFill="1" applyBorder="1" applyAlignment="1">
      <alignment horizontal="center" vertical="center" wrapText="1" readingOrder="1"/>
    </xf>
    <xf numFmtId="164" fontId="2" fillId="2" borderId="7" xfId="0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2" xfId="2" applyFont="1" applyFill="1" applyBorder="1" applyAlignment="1">
      <alignment vertical="center"/>
    </xf>
    <xf numFmtId="9" fontId="2" fillId="2" borderId="2" xfId="1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9" fontId="1" fillId="2" borderId="2" xfId="1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165" fontId="1" fillId="2" borderId="2" xfId="1" applyNumberFormat="1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00FF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nergiapp.dnp.gov.co/" TargetMode="External"/><Relationship Id="rId13" Type="http://schemas.openxmlformats.org/officeDocument/2006/relationships/hyperlink" Target="https://sinergiapp.dnp.gov.co/" TargetMode="External"/><Relationship Id="rId3" Type="http://schemas.openxmlformats.org/officeDocument/2006/relationships/hyperlink" Target="https://sinergiapp.dnp.gov.co/" TargetMode="External"/><Relationship Id="rId7" Type="http://schemas.openxmlformats.org/officeDocument/2006/relationships/hyperlink" Target="https://sinergiapp.dnp.gov.co/" TargetMode="External"/><Relationship Id="rId12" Type="http://schemas.openxmlformats.org/officeDocument/2006/relationships/hyperlink" Target="https://sinergiapp.dnp.gov.co/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sinergiapp.dnp.gov.co/" TargetMode="External"/><Relationship Id="rId16" Type="http://schemas.openxmlformats.org/officeDocument/2006/relationships/hyperlink" Target="https://sinergiapp.dnp.gov.co/" TargetMode="External"/><Relationship Id="rId1" Type="http://schemas.openxmlformats.org/officeDocument/2006/relationships/hyperlink" Target="https://sinergiapp.dnp.gov.co/" TargetMode="External"/><Relationship Id="rId6" Type="http://schemas.openxmlformats.org/officeDocument/2006/relationships/hyperlink" Target="https://sinergiapp.dnp.gov.co/" TargetMode="External"/><Relationship Id="rId11" Type="http://schemas.openxmlformats.org/officeDocument/2006/relationships/hyperlink" Target="https://sinergiapp.dnp.gov.co/" TargetMode="External"/><Relationship Id="rId5" Type="http://schemas.openxmlformats.org/officeDocument/2006/relationships/hyperlink" Target="https://sinergiapp.dnp.gov.co/" TargetMode="External"/><Relationship Id="rId15" Type="http://schemas.openxmlformats.org/officeDocument/2006/relationships/hyperlink" Target="https://sinergiapp.dnp.gov.co/" TargetMode="External"/><Relationship Id="rId10" Type="http://schemas.openxmlformats.org/officeDocument/2006/relationships/hyperlink" Target="https://sinergiapp.dnp.gov.co/" TargetMode="External"/><Relationship Id="rId4" Type="http://schemas.openxmlformats.org/officeDocument/2006/relationships/hyperlink" Target="https://sinergiapp.dnp.gov.co/" TargetMode="External"/><Relationship Id="rId9" Type="http://schemas.openxmlformats.org/officeDocument/2006/relationships/hyperlink" Target="https://sinergiapp.dnp.gov.co/" TargetMode="External"/><Relationship Id="rId14" Type="http://schemas.openxmlformats.org/officeDocument/2006/relationships/hyperlink" Target="https://sinergiapp.dnp.gov.c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showGridLines="0" zoomScale="70" zoomScaleNormal="70" workbookViewId="0">
      <pane ySplit="3" topLeftCell="A4" activePane="bottomLeft" state="frozen"/>
      <selection pane="bottomLeft" activeCell="K17" sqref="K17"/>
    </sheetView>
  </sheetViews>
  <sheetFormatPr baseColWidth="10" defaultRowHeight="14.25" x14ac:dyDescent="0.25"/>
  <cols>
    <col min="1" max="1" width="77.5703125" style="1" customWidth="1"/>
    <col min="2" max="2" width="15.140625" style="1" customWidth="1"/>
    <col min="3" max="3" width="16.140625" style="1" customWidth="1"/>
    <col min="4" max="8" width="15.140625" style="1" customWidth="1"/>
    <col min="9" max="9" width="17.28515625" style="1" customWidth="1"/>
    <col min="10" max="10" width="2.28515625" style="3" customWidth="1"/>
    <col min="11" max="11" width="64.42578125" style="1" bestFit="1" customWidth="1"/>
    <col min="12" max="16384" width="11.42578125" style="1"/>
  </cols>
  <sheetData>
    <row r="1" spans="1:14" ht="59.25" customHeight="1" x14ac:dyDescent="0.25">
      <c r="A1" s="69" t="s">
        <v>43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4" ht="15.7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3"/>
      <c r="K2" s="42"/>
    </row>
    <row r="3" spans="1:14" ht="61.5" customHeight="1" x14ac:dyDescent="0.25">
      <c r="A3" s="40" t="s">
        <v>0</v>
      </c>
      <c r="B3" s="40" t="s">
        <v>1</v>
      </c>
      <c r="C3" s="40" t="s">
        <v>2</v>
      </c>
      <c r="D3" s="40" t="s">
        <v>3</v>
      </c>
      <c r="E3" s="40" t="s">
        <v>44</v>
      </c>
      <c r="F3" s="40" t="s">
        <v>4</v>
      </c>
      <c r="G3" s="40" t="s">
        <v>45</v>
      </c>
      <c r="H3" s="40" t="s">
        <v>46</v>
      </c>
      <c r="I3" s="40" t="s">
        <v>40</v>
      </c>
      <c r="J3" s="43"/>
      <c r="K3" s="40" t="s">
        <v>41</v>
      </c>
    </row>
    <row r="4" spans="1:14" ht="55.5" customHeight="1" x14ac:dyDescent="0.25">
      <c r="A4" s="22" t="s">
        <v>5</v>
      </c>
      <c r="B4" s="23" t="s">
        <v>9</v>
      </c>
      <c r="C4" s="24" t="s">
        <v>7</v>
      </c>
      <c r="D4" s="39">
        <v>790000</v>
      </c>
      <c r="E4" s="25">
        <v>850200</v>
      </c>
      <c r="F4" s="25">
        <v>912200</v>
      </c>
      <c r="G4" s="25">
        <v>1048600</v>
      </c>
      <c r="H4" s="25">
        <v>1185000</v>
      </c>
      <c r="I4" s="39">
        <v>1185000</v>
      </c>
      <c r="K4" s="44" t="s">
        <v>25</v>
      </c>
      <c r="L4" s="26"/>
    </row>
    <row r="5" spans="1:14" ht="61.5" customHeight="1" x14ac:dyDescent="0.25">
      <c r="A5" s="13" t="s">
        <v>8</v>
      </c>
      <c r="B5" s="4" t="s">
        <v>9</v>
      </c>
      <c r="C5" s="5" t="s">
        <v>10</v>
      </c>
      <c r="D5" s="7">
        <v>559</v>
      </c>
      <c r="E5" s="2">
        <v>500</v>
      </c>
      <c r="F5" s="2">
        <v>500</v>
      </c>
      <c r="G5" s="2">
        <v>500</v>
      </c>
      <c r="H5" s="2">
        <v>500</v>
      </c>
      <c r="I5" s="7">
        <v>2000</v>
      </c>
      <c r="K5" s="11" t="s">
        <v>26</v>
      </c>
    </row>
    <row r="6" spans="1:14" ht="45.75" customHeight="1" x14ac:dyDescent="0.25">
      <c r="A6" s="13" t="s">
        <v>11</v>
      </c>
      <c r="B6" s="4" t="s">
        <v>16</v>
      </c>
      <c r="C6" s="5" t="s">
        <v>68</v>
      </c>
      <c r="D6" s="9">
        <v>0.44</v>
      </c>
      <c r="E6" s="8">
        <v>1</v>
      </c>
      <c r="F6" s="8">
        <v>1</v>
      </c>
      <c r="G6" s="8">
        <v>1</v>
      </c>
      <c r="H6" s="8">
        <v>1</v>
      </c>
      <c r="I6" s="9">
        <v>1</v>
      </c>
      <c r="K6" s="11" t="s">
        <v>27</v>
      </c>
    </row>
    <row r="7" spans="1:14" ht="57" customHeight="1" x14ac:dyDescent="0.25">
      <c r="A7" s="13" t="s">
        <v>12</v>
      </c>
      <c r="B7" s="4" t="s">
        <v>13</v>
      </c>
      <c r="C7" s="5" t="s">
        <v>10</v>
      </c>
      <c r="D7" s="7">
        <v>0</v>
      </c>
      <c r="E7" s="2">
        <v>5</v>
      </c>
      <c r="F7" s="2">
        <v>5</v>
      </c>
      <c r="G7" s="2" t="s">
        <v>42</v>
      </c>
      <c r="H7" s="2" t="s">
        <v>42</v>
      </c>
      <c r="I7" s="7">
        <v>10</v>
      </c>
      <c r="K7" s="11" t="s">
        <v>28</v>
      </c>
    </row>
    <row r="8" spans="1:14" ht="38.25" customHeight="1" x14ac:dyDescent="0.25">
      <c r="A8" s="13" t="s">
        <v>14</v>
      </c>
      <c r="B8" s="4" t="s">
        <v>13</v>
      </c>
      <c r="C8" s="5" t="s">
        <v>10</v>
      </c>
      <c r="D8" s="9">
        <v>0</v>
      </c>
      <c r="E8" s="8">
        <v>0.75</v>
      </c>
      <c r="F8" s="8">
        <v>0.25</v>
      </c>
      <c r="G8" s="8">
        <v>0</v>
      </c>
      <c r="H8" s="8">
        <v>0</v>
      </c>
      <c r="I8" s="9">
        <v>1</v>
      </c>
      <c r="K8" s="11" t="s">
        <v>29</v>
      </c>
    </row>
    <row r="9" spans="1:14" ht="38.25" customHeight="1" x14ac:dyDescent="0.25">
      <c r="A9" s="13" t="s">
        <v>15</v>
      </c>
      <c r="B9" s="4" t="s">
        <v>16</v>
      </c>
      <c r="C9" s="5" t="s">
        <v>7</v>
      </c>
      <c r="D9" s="7">
        <v>0</v>
      </c>
      <c r="E9" s="2">
        <v>210</v>
      </c>
      <c r="F9" s="2">
        <v>420</v>
      </c>
      <c r="G9" s="2">
        <v>630</v>
      </c>
      <c r="H9" s="2">
        <v>840</v>
      </c>
      <c r="I9" s="7">
        <v>840</v>
      </c>
      <c r="K9" s="44" t="s">
        <v>30</v>
      </c>
      <c r="N9" s="26"/>
    </row>
    <row r="10" spans="1:14" ht="33" customHeight="1" x14ac:dyDescent="0.25">
      <c r="A10" s="13" t="s">
        <v>17</v>
      </c>
      <c r="B10" s="4" t="s">
        <v>16</v>
      </c>
      <c r="C10" s="5" t="s">
        <v>7</v>
      </c>
      <c r="D10" s="7">
        <v>18</v>
      </c>
      <c r="E10" s="2">
        <v>22</v>
      </c>
      <c r="F10" s="2">
        <v>23</v>
      </c>
      <c r="G10" s="2">
        <v>24</v>
      </c>
      <c r="H10" s="2">
        <v>25</v>
      </c>
      <c r="I10" s="7">
        <v>25</v>
      </c>
      <c r="K10" s="11" t="s">
        <v>31</v>
      </c>
    </row>
    <row r="11" spans="1:14" ht="38.25" customHeight="1" x14ac:dyDescent="0.25">
      <c r="A11" s="13" t="s">
        <v>19</v>
      </c>
      <c r="B11" s="4" t="s">
        <v>16</v>
      </c>
      <c r="C11" s="5" t="s">
        <v>10</v>
      </c>
      <c r="D11" s="7">
        <v>0</v>
      </c>
      <c r="E11" s="2">
        <v>22500</v>
      </c>
      <c r="F11" s="2">
        <v>22500</v>
      </c>
      <c r="G11" s="2">
        <v>22500</v>
      </c>
      <c r="H11" s="2">
        <v>22500</v>
      </c>
      <c r="I11" s="7">
        <v>90000</v>
      </c>
      <c r="K11" s="44" t="s">
        <v>32</v>
      </c>
    </row>
    <row r="12" spans="1:14" ht="43.5" customHeight="1" x14ac:dyDescent="0.25">
      <c r="A12" s="13" t="s">
        <v>18</v>
      </c>
      <c r="B12" s="4" t="s">
        <v>9</v>
      </c>
      <c r="C12" s="5" t="s">
        <v>7</v>
      </c>
      <c r="D12" s="7">
        <v>1164</v>
      </c>
      <c r="E12" s="2">
        <v>1464</v>
      </c>
      <c r="F12" s="2">
        <v>1774</v>
      </c>
      <c r="G12" s="2">
        <v>2084</v>
      </c>
      <c r="H12" s="2">
        <v>2344</v>
      </c>
      <c r="I12" s="7">
        <v>2344</v>
      </c>
      <c r="K12" s="44" t="s">
        <v>34</v>
      </c>
      <c r="M12" s="26"/>
      <c r="N12" s="26"/>
    </row>
    <row r="13" spans="1:14" ht="74.25" customHeight="1" x14ac:dyDescent="0.25">
      <c r="A13" s="13" t="s">
        <v>20</v>
      </c>
      <c r="B13" s="4" t="s">
        <v>13</v>
      </c>
      <c r="C13" s="5" t="s">
        <v>7</v>
      </c>
      <c r="D13" s="7">
        <v>1</v>
      </c>
      <c r="E13" s="2">
        <v>1</v>
      </c>
      <c r="F13" s="2">
        <v>2</v>
      </c>
      <c r="G13" s="2">
        <v>3</v>
      </c>
      <c r="H13" s="2">
        <v>5</v>
      </c>
      <c r="I13" s="7">
        <v>5</v>
      </c>
      <c r="K13" s="11" t="s">
        <v>33</v>
      </c>
    </row>
    <row r="14" spans="1:14" ht="56.25" customHeight="1" x14ac:dyDescent="0.25">
      <c r="A14" s="13" t="s">
        <v>21</v>
      </c>
      <c r="B14" s="4" t="s">
        <v>16</v>
      </c>
      <c r="C14" s="5" t="s">
        <v>7</v>
      </c>
      <c r="D14" s="7">
        <v>57</v>
      </c>
      <c r="E14" s="2">
        <v>65</v>
      </c>
      <c r="F14" s="2">
        <v>73</v>
      </c>
      <c r="G14" s="2">
        <v>83</v>
      </c>
      <c r="H14" s="2">
        <v>97</v>
      </c>
      <c r="I14" s="7">
        <v>97</v>
      </c>
      <c r="K14" s="11" t="s">
        <v>35</v>
      </c>
    </row>
    <row r="15" spans="1:14" ht="66" customHeight="1" x14ac:dyDescent="0.25">
      <c r="A15" s="13" t="s">
        <v>22</v>
      </c>
      <c r="B15" s="4" t="s">
        <v>13</v>
      </c>
      <c r="C15" s="5" t="s">
        <v>7</v>
      </c>
      <c r="D15" s="9">
        <v>0</v>
      </c>
      <c r="E15" s="8">
        <v>0.1</v>
      </c>
      <c r="F15" s="8">
        <v>0.4</v>
      </c>
      <c r="G15" s="8">
        <v>0.7</v>
      </c>
      <c r="H15" s="8">
        <v>1</v>
      </c>
      <c r="I15" s="9">
        <v>1</v>
      </c>
      <c r="K15" s="11" t="s">
        <v>36</v>
      </c>
    </row>
    <row r="16" spans="1:14" ht="116.25" customHeight="1" x14ac:dyDescent="0.25">
      <c r="A16" s="13" t="s">
        <v>23</v>
      </c>
      <c r="B16" s="4" t="s">
        <v>13</v>
      </c>
      <c r="C16" s="5" t="s">
        <v>7</v>
      </c>
      <c r="D16" s="9">
        <v>0</v>
      </c>
      <c r="E16" s="8">
        <v>0.1</v>
      </c>
      <c r="F16" s="8">
        <v>0.4</v>
      </c>
      <c r="G16" s="8">
        <v>0.7</v>
      </c>
      <c r="H16" s="8">
        <v>1</v>
      </c>
      <c r="I16" s="9">
        <v>1</v>
      </c>
      <c r="K16" s="11" t="s">
        <v>37</v>
      </c>
    </row>
    <row r="17" spans="1:11" ht="69.75" customHeight="1" x14ac:dyDescent="0.25">
      <c r="A17" s="13" t="s">
        <v>24</v>
      </c>
      <c r="B17" s="4" t="s">
        <v>16</v>
      </c>
      <c r="C17" s="5" t="s">
        <v>7</v>
      </c>
      <c r="D17" s="7">
        <v>808</v>
      </c>
      <c r="E17" s="2">
        <v>868</v>
      </c>
      <c r="F17" s="2">
        <v>908</v>
      </c>
      <c r="G17" s="2">
        <v>968</v>
      </c>
      <c r="H17" s="2">
        <v>1008</v>
      </c>
      <c r="I17" s="7">
        <v>1008</v>
      </c>
      <c r="K17" s="11" t="s">
        <v>38</v>
      </c>
    </row>
    <row r="18" spans="1:11" ht="39.75" customHeight="1" x14ac:dyDescent="0.25">
      <c r="A18" s="13" t="s">
        <v>61</v>
      </c>
      <c r="B18" s="4" t="s">
        <v>6</v>
      </c>
      <c r="C18" s="5" t="s">
        <v>10</v>
      </c>
      <c r="D18" s="7">
        <v>0</v>
      </c>
      <c r="E18" s="8" t="s">
        <v>42</v>
      </c>
      <c r="F18" s="8" t="s">
        <v>42</v>
      </c>
      <c r="G18" s="8" t="s">
        <v>42</v>
      </c>
      <c r="H18" s="2">
        <v>1</v>
      </c>
      <c r="I18" s="7">
        <v>1</v>
      </c>
      <c r="K18" s="11" t="s">
        <v>39</v>
      </c>
    </row>
    <row r="19" spans="1:11" ht="72" customHeight="1" x14ac:dyDescent="0.25">
      <c r="A19" s="13" t="s">
        <v>63</v>
      </c>
      <c r="B19" s="19" t="s">
        <v>6</v>
      </c>
      <c r="C19" s="20" t="s">
        <v>10</v>
      </c>
      <c r="D19" s="15">
        <v>1</v>
      </c>
      <c r="E19" s="6">
        <v>1</v>
      </c>
      <c r="F19" s="6">
        <v>1</v>
      </c>
      <c r="G19" s="6">
        <v>1</v>
      </c>
      <c r="H19" s="6">
        <v>1</v>
      </c>
      <c r="I19" s="7">
        <v>4</v>
      </c>
      <c r="K19" s="11" t="s">
        <v>66</v>
      </c>
    </row>
    <row r="20" spans="1:11" ht="73.5" customHeight="1" x14ac:dyDescent="0.25">
      <c r="A20" s="13" t="s">
        <v>62</v>
      </c>
      <c r="B20" s="6" t="s">
        <v>16</v>
      </c>
      <c r="C20" s="6" t="s">
        <v>10</v>
      </c>
      <c r="D20" s="37">
        <v>0</v>
      </c>
      <c r="E20" s="8" t="s">
        <v>42</v>
      </c>
      <c r="F20" s="8" t="s">
        <v>42</v>
      </c>
      <c r="G20" s="8" t="s">
        <v>42</v>
      </c>
      <c r="H20" s="8">
        <v>1</v>
      </c>
      <c r="I20" s="9">
        <v>1</v>
      </c>
      <c r="K20" s="11" t="s">
        <v>65</v>
      </c>
    </row>
    <row r="21" spans="1:11" ht="63" customHeight="1" x14ac:dyDescent="0.25">
      <c r="A21" s="13" t="s">
        <v>64</v>
      </c>
      <c r="B21" s="21" t="s">
        <v>6</v>
      </c>
      <c r="C21" s="21" t="s">
        <v>10</v>
      </c>
      <c r="D21" s="37">
        <v>0</v>
      </c>
      <c r="E21" s="8">
        <v>0.5</v>
      </c>
      <c r="F21" s="8">
        <v>0.5</v>
      </c>
      <c r="G21" s="8" t="s">
        <v>42</v>
      </c>
      <c r="H21" s="8" t="s">
        <v>42</v>
      </c>
      <c r="I21" s="9">
        <v>1</v>
      </c>
      <c r="K21" s="11" t="s">
        <v>67</v>
      </c>
    </row>
    <row r="22" spans="1:11" ht="57" x14ac:dyDescent="0.25">
      <c r="A22" s="13" t="s">
        <v>71</v>
      </c>
      <c r="B22" s="21" t="s">
        <v>6</v>
      </c>
      <c r="C22" s="21" t="s">
        <v>68</v>
      </c>
      <c r="D22" s="37">
        <v>0</v>
      </c>
      <c r="E22" s="8" t="s">
        <v>42</v>
      </c>
      <c r="F22" s="8" t="s">
        <v>42</v>
      </c>
      <c r="G22" s="8">
        <v>1</v>
      </c>
      <c r="H22" s="8">
        <v>1</v>
      </c>
      <c r="I22" s="9">
        <v>1</v>
      </c>
      <c r="K22" s="11" t="s">
        <v>70</v>
      </c>
    </row>
    <row r="23" spans="1:11" x14ac:dyDescent="0.25">
      <c r="A23" s="1" t="s">
        <v>59</v>
      </c>
    </row>
  </sheetData>
  <mergeCells count="1">
    <mergeCell ref="A1:K1"/>
  </mergeCells>
  <hyperlinks>
    <hyperlink ref="K4" r:id="rId1" location="IndicadorProgEntSI/33/1481/5822" xr:uid="{00000000-0004-0000-0000-000000000000}"/>
    <hyperlink ref="K5" r:id="rId2" location="IndicadorProgEntSI/33/1481/5823" xr:uid="{00000000-0004-0000-0000-000001000000}"/>
    <hyperlink ref="K6" r:id="rId3" location="IndicadorProgEntSI/33/1481/5824" xr:uid="{00000000-0004-0000-0000-000002000000}"/>
    <hyperlink ref="K7" r:id="rId4" location="IndicadorProgEntSI/33/1481/5825" xr:uid="{00000000-0004-0000-0000-000003000000}"/>
    <hyperlink ref="K8" r:id="rId5" location="IndicadorProgEntSI/33/1481/5826" xr:uid="{00000000-0004-0000-0000-000004000000}"/>
    <hyperlink ref="K9" r:id="rId6" location="IndicadorProgEntSI/33/1481/5827" xr:uid="{00000000-0004-0000-0000-000005000000}"/>
    <hyperlink ref="K10" r:id="rId7" location="IndicadorProgEntSI/33/1481/5828" xr:uid="{00000000-0004-0000-0000-000006000000}"/>
    <hyperlink ref="K11" r:id="rId8" location="IndicadorProgEntSI/33/1483/5830" xr:uid="{00000000-0004-0000-0000-000007000000}"/>
    <hyperlink ref="K12" r:id="rId9" location="IndicadorProgEntSI/33/1482/5829" xr:uid="{00000000-0004-0000-0000-000008000000}"/>
    <hyperlink ref="K13" r:id="rId10" location="IndicadorProgEntSI/33/1483/5831" xr:uid="{00000000-0004-0000-0000-000009000000}"/>
    <hyperlink ref="K14" r:id="rId11" location="IndicadorProgEntSI/33/1484/5832" xr:uid="{00000000-0004-0000-0000-00000A000000}"/>
    <hyperlink ref="K15" r:id="rId12" location="IndicadorProgEntSI/33/1484/5833" xr:uid="{00000000-0004-0000-0000-00000B000000}"/>
    <hyperlink ref="K16" r:id="rId13" location="IndicadorProgEntSI/33/1484/5834" xr:uid="{00000000-0004-0000-0000-00000C000000}"/>
    <hyperlink ref="K17" r:id="rId14" location="IndicadorProgEntSI/33/1485/5835" xr:uid="{00000000-0004-0000-0000-00000D000000}"/>
    <hyperlink ref="K18" r:id="rId15" location="IndicadorProgEntSI/33/1480/5821" xr:uid="{00000000-0004-0000-0000-00000E000000}"/>
    <hyperlink ref="K20" r:id="rId16" location="IndicadorProgEntPI/33/null/6659" display="https://sinergiapp.dnp.gov.co/ - IndicadorProgEntPI/33/null/6659" xr:uid="{0B0A638D-5995-4171-BCAB-2D621BD559F1}"/>
  </hyperlinks>
  <pageMargins left="0" right="0" top="0" bottom="0" header="0" footer="0"/>
  <pageSetup paperSize="9" orientation="portrait" horizontalDpi="300" verticalDpi="300" r:id="rId1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5F396-27AC-4C63-B557-3BD015C4F5AE}">
  <dimension ref="A1:M25"/>
  <sheetViews>
    <sheetView zoomScale="70" zoomScaleNormal="70" workbookViewId="0">
      <pane ySplit="4" topLeftCell="A5" activePane="bottomLeft" state="frozen"/>
      <selection pane="bottomLeft" sqref="A1:H1"/>
    </sheetView>
  </sheetViews>
  <sheetFormatPr baseColWidth="10" defaultRowHeight="14.25" x14ac:dyDescent="0.25"/>
  <cols>
    <col min="1" max="1" width="77.5703125" style="1" customWidth="1"/>
    <col min="2" max="2" width="25.140625" style="1" customWidth="1"/>
    <col min="3" max="6" width="25" style="3" customWidth="1"/>
    <col min="7" max="8" width="25" style="1" customWidth="1"/>
    <col min="9" max="16384" width="11.42578125" style="1"/>
  </cols>
  <sheetData>
    <row r="1" spans="1:13" ht="83.25" customHeight="1" x14ac:dyDescent="0.25">
      <c r="A1" s="69" t="s">
        <v>54</v>
      </c>
      <c r="B1" s="69"/>
      <c r="C1" s="69"/>
      <c r="D1" s="69"/>
      <c r="E1" s="69"/>
      <c r="F1" s="69"/>
      <c r="G1" s="69"/>
      <c r="H1" s="69"/>
    </row>
    <row r="2" spans="1:13" ht="21" customHeight="1" x14ac:dyDescent="0.25">
      <c r="A2" s="18"/>
      <c r="B2" s="18"/>
      <c r="C2" s="18"/>
      <c r="D2" s="18"/>
      <c r="E2" s="18"/>
      <c r="F2" s="18"/>
      <c r="G2" s="18"/>
      <c r="H2" s="18"/>
    </row>
    <row r="3" spans="1:13" ht="26.25" customHeight="1" x14ac:dyDescent="0.25">
      <c r="A3" s="72" t="s">
        <v>0</v>
      </c>
      <c r="B3" s="73" t="s">
        <v>3</v>
      </c>
      <c r="C3" s="70">
        <v>2019</v>
      </c>
      <c r="D3" s="70"/>
      <c r="E3" s="70"/>
      <c r="F3" s="71" t="s">
        <v>49</v>
      </c>
      <c r="G3" s="71"/>
      <c r="H3" s="71"/>
    </row>
    <row r="4" spans="1:13" ht="61.5" customHeight="1" x14ac:dyDescent="0.25">
      <c r="A4" s="72"/>
      <c r="B4" s="73"/>
      <c r="C4" s="40" t="s">
        <v>57</v>
      </c>
      <c r="D4" s="40" t="s">
        <v>56</v>
      </c>
      <c r="E4" s="40" t="s">
        <v>52</v>
      </c>
      <c r="F4" s="41" t="s">
        <v>50</v>
      </c>
      <c r="G4" s="41" t="s">
        <v>55</v>
      </c>
      <c r="H4" s="41" t="s">
        <v>52</v>
      </c>
    </row>
    <row r="5" spans="1:13" ht="55.5" customHeight="1" x14ac:dyDescent="0.25">
      <c r="A5" s="13" t="s">
        <v>5</v>
      </c>
      <c r="B5" s="34">
        <f>'METAS 2019-2022'!D4</f>
        <v>790000</v>
      </c>
      <c r="C5" s="14">
        <f>+'METAS 2019-2022'!E4-'METAS 2019-2022'!D4</f>
        <v>60200</v>
      </c>
      <c r="D5" s="14">
        <v>60900</v>
      </c>
      <c r="E5" s="12">
        <f>+D5/C5</f>
        <v>1.0116279069767442</v>
      </c>
      <c r="F5" s="34">
        <f>'METAS 2019-2022'!I4</f>
        <v>1185000</v>
      </c>
      <c r="G5" s="28">
        <f>+B5+D5</f>
        <v>850900</v>
      </c>
      <c r="H5" s="35">
        <f>(G5-B5)/(F5-B5)</f>
        <v>0.15417721518987343</v>
      </c>
      <c r="I5" s="26"/>
    </row>
    <row r="6" spans="1:13" ht="61.5" customHeight="1" x14ac:dyDescent="0.25">
      <c r="A6" s="13" t="s">
        <v>8</v>
      </c>
      <c r="B6" s="34">
        <f>'METAS 2019-2022'!D5</f>
        <v>559</v>
      </c>
      <c r="C6" s="15">
        <f>+'METAS 2019-2022'!E5</f>
        <v>500</v>
      </c>
      <c r="D6" s="15">
        <v>505</v>
      </c>
      <c r="E6" s="12">
        <f t="shared" ref="E6:E22" si="0">+D6/C6</f>
        <v>1.01</v>
      </c>
      <c r="F6" s="34">
        <f>'METAS 2019-2022'!I5</f>
        <v>2000</v>
      </c>
      <c r="G6" s="28">
        <f>+D6</f>
        <v>505</v>
      </c>
      <c r="H6" s="31">
        <f>G6/F6</f>
        <v>0.2525</v>
      </c>
    </row>
    <row r="7" spans="1:13" ht="45.75" customHeight="1" x14ac:dyDescent="0.25">
      <c r="A7" s="13" t="s">
        <v>11</v>
      </c>
      <c r="B7" s="38">
        <f>'METAS 2019-2022'!D6</f>
        <v>0.44</v>
      </c>
      <c r="C7" s="16">
        <f>+'METAS 2019-2022'!E6</f>
        <v>1</v>
      </c>
      <c r="D7" s="16">
        <v>1</v>
      </c>
      <c r="E7" s="12">
        <f t="shared" si="0"/>
        <v>1</v>
      </c>
      <c r="F7" s="33">
        <f>'METAS 2019-2022'!I6</f>
        <v>1</v>
      </c>
      <c r="G7" s="30">
        <f>+D7</f>
        <v>1</v>
      </c>
      <c r="H7" s="31">
        <f>+E7</f>
        <v>1</v>
      </c>
    </row>
    <row r="8" spans="1:13" ht="57" customHeight="1" x14ac:dyDescent="0.25">
      <c r="A8" s="13" t="s">
        <v>12</v>
      </c>
      <c r="B8" s="34">
        <f>'METAS 2019-2022'!D7</f>
        <v>0</v>
      </c>
      <c r="C8" s="15">
        <f>+'METAS 2019-2022'!E7</f>
        <v>5</v>
      </c>
      <c r="D8" s="15">
        <v>7</v>
      </c>
      <c r="E8" s="12">
        <f t="shared" si="0"/>
        <v>1.4</v>
      </c>
      <c r="F8" s="34">
        <f>'METAS 2019-2022'!I7</f>
        <v>10</v>
      </c>
      <c r="G8" s="28">
        <f>+D8</f>
        <v>7</v>
      </c>
      <c r="H8" s="31">
        <f>G8/F8</f>
        <v>0.7</v>
      </c>
    </row>
    <row r="9" spans="1:13" ht="38.25" customHeight="1" x14ac:dyDescent="0.25">
      <c r="A9" s="13" t="s">
        <v>14</v>
      </c>
      <c r="B9" s="33">
        <f>'METAS 2019-2022'!D8</f>
        <v>0</v>
      </c>
      <c r="C9" s="16">
        <f>+'METAS 2019-2022'!E8</f>
        <v>0.75</v>
      </c>
      <c r="D9" s="10">
        <f>(0+15+4+2+4+4+9+13+0+0+0+14)/105</f>
        <v>0.61904761904761907</v>
      </c>
      <c r="E9" s="12">
        <f t="shared" si="0"/>
        <v>0.82539682539682546</v>
      </c>
      <c r="F9" s="33">
        <f>'METAS 2019-2022'!I8</f>
        <v>1</v>
      </c>
      <c r="G9" s="30">
        <f>+D9</f>
        <v>0.61904761904761907</v>
      </c>
      <c r="H9" s="36">
        <f>+G9</f>
        <v>0.61904761904761907</v>
      </c>
    </row>
    <row r="10" spans="1:13" ht="38.25" customHeight="1" x14ac:dyDescent="0.25">
      <c r="A10" s="13" t="s">
        <v>15</v>
      </c>
      <c r="B10" s="34">
        <f>'METAS 2019-2022'!D9</f>
        <v>0</v>
      </c>
      <c r="C10" s="14">
        <f>+'METAS 2019-2022'!E9</f>
        <v>210</v>
      </c>
      <c r="D10" s="15">
        <v>187</v>
      </c>
      <c r="E10" s="12">
        <f t="shared" si="0"/>
        <v>0.89047619047619042</v>
      </c>
      <c r="F10" s="34">
        <f>'METAS 2019-2022'!I9</f>
        <v>840</v>
      </c>
      <c r="G10" s="28">
        <f>+D10</f>
        <v>187</v>
      </c>
      <c r="H10" s="31">
        <f>G10/F10</f>
        <v>0.22261904761904761</v>
      </c>
    </row>
    <row r="11" spans="1:13" ht="33" customHeight="1" x14ac:dyDescent="0.25">
      <c r="A11" s="13" t="s">
        <v>17</v>
      </c>
      <c r="B11" s="34">
        <f>'METAS 2019-2022'!D10</f>
        <v>18</v>
      </c>
      <c r="C11" s="15">
        <f>+'METAS 2019-2022'!E10-'METAS 2019-2022'!D10</f>
        <v>4</v>
      </c>
      <c r="D11" s="14">
        <v>7</v>
      </c>
      <c r="E11" s="12">
        <f t="shared" si="0"/>
        <v>1.75</v>
      </c>
      <c r="F11" s="34">
        <f>'METAS 2019-2022'!I10</f>
        <v>25</v>
      </c>
      <c r="G11" s="28">
        <f>+B11+D11</f>
        <v>25</v>
      </c>
      <c r="H11" s="31">
        <f>(G11-B11)/(F11-B11)</f>
        <v>1</v>
      </c>
    </row>
    <row r="12" spans="1:13" ht="38.25" customHeight="1" x14ac:dyDescent="0.25">
      <c r="A12" s="13" t="s">
        <v>19</v>
      </c>
      <c r="B12" s="34">
        <f>'METAS 2019-2022'!D11</f>
        <v>0</v>
      </c>
      <c r="C12" s="15">
        <f>+'METAS 2019-2022'!E11</f>
        <v>22500</v>
      </c>
      <c r="D12" s="17">
        <v>44191</v>
      </c>
      <c r="E12" s="12">
        <f t="shared" si="0"/>
        <v>1.9640444444444445</v>
      </c>
      <c r="F12" s="34">
        <f>'METAS 2019-2022'!I11</f>
        <v>90000</v>
      </c>
      <c r="G12" s="28">
        <f>+D12</f>
        <v>44191</v>
      </c>
      <c r="H12" s="31">
        <f>G12/F12</f>
        <v>0.49101111111111112</v>
      </c>
    </row>
    <row r="13" spans="1:13" ht="43.5" customHeight="1" x14ac:dyDescent="0.25">
      <c r="A13" s="13" t="s">
        <v>18</v>
      </c>
      <c r="B13" s="34">
        <f>'METAS 2019-2022'!D12</f>
        <v>1164</v>
      </c>
      <c r="C13" s="15">
        <f>+'METAS 2019-2022'!E12-'METAS 2019-2022'!D12</f>
        <v>300</v>
      </c>
      <c r="D13" s="14">
        <v>402</v>
      </c>
      <c r="E13" s="12">
        <f t="shared" si="0"/>
        <v>1.34</v>
      </c>
      <c r="F13" s="34">
        <f>'METAS 2019-2022'!I12</f>
        <v>2344</v>
      </c>
      <c r="G13" s="28">
        <f>+B13+D13</f>
        <v>1566</v>
      </c>
      <c r="H13" s="31">
        <f>(G13-B13)/(F13-B13)</f>
        <v>0.34067796610169493</v>
      </c>
      <c r="I13" s="26"/>
      <c r="M13" s="26"/>
    </row>
    <row r="14" spans="1:13" ht="74.25" customHeight="1" x14ac:dyDescent="0.25">
      <c r="A14" s="13" t="s">
        <v>20</v>
      </c>
      <c r="B14" s="34">
        <f>'METAS 2019-2022'!D13</f>
        <v>1</v>
      </c>
      <c r="C14" s="15">
        <f>+'METAS 2019-2022'!E13</f>
        <v>1</v>
      </c>
      <c r="D14" s="14" t="s">
        <v>42</v>
      </c>
      <c r="E14" s="12" t="s">
        <v>42</v>
      </c>
      <c r="F14" s="34">
        <f>'METAS 2019-2022'!I13</f>
        <v>5</v>
      </c>
      <c r="G14" s="28">
        <f>+B14</f>
        <v>1</v>
      </c>
      <c r="H14" s="31">
        <f>(G14-B14)/(F14-B14)</f>
        <v>0</v>
      </c>
    </row>
    <row r="15" spans="1:13" ht="56.25" customHeight="1" x14ac:dyDescent="0.25">
      <c r="A15" s="13" t="s">
        <v>21</v>
      </c>
      <c r="B15" s="34">
        <f>'METAS 2019-2022'!D14</f>
        <v>57</v>
      </c>
      <c r="C15" s="15">
        <f>+'METAS 2019-2022'!E14-'METAS 2019-2022'!D14</f>
        <v>8</v>
      </c>
      <c r="D15" s="14">
        <v>28</v>
      </c>
      <c r="E15" s="12">
        <f t="shared" si="0"/>
        <v>3.5</v>
      </c>
      <c r="F15" s="34">
        <f>'METAS 2019-2022'!I14</f>
        <v>97</v>
      </c>
      <c r="G15" s="28">
        <f>+B15+D15</f>
        <v>85</v>
      </c>
      <c r="H15" s="31">
        <f>(G15-B15)/(F15-B15)</f>
        <v>0.7</v>
      </c>
      <c r="M15" s="26"/>
    </row>
    <row r="16" spans="1:13" ht="66" customHeight="1" x14ac:dyDescent="0.25">
      <c r="A16" s="13" t="s">
        <v>22</v>
      </c>
      <c r="B16" s="33">
        <f>'METAS 2019-2022'!D15</f>
        <v>0</v>
      </c>
      <c r="C16" s="16">
        <f>+'METAS 2019-2022'!E15</f>
        <v>0.1</v>
      </c>
      <c r="D16" s="16">
        <v>0.1</v>
      </c>
      <c r="E16" s="12">
        <f t="shared" si="0"/>
        <v>1</v>
      </c>
      <c r="F16" s="33">
        <f>'METAS 2019-2022'!I15</f>
        <v>1</v>
      </c>
      <c r="G16" s="30">
        <f>+D16</f>
        <v>0.1</v>
      </c>
      <c r="H16" s="31">
        <f>G16/F16</f>
        <v>0.1</v>
      </c>
    </row>
    <row r="17" spans="1:13" ht="116.25" customHeight="1" x14ac:dyDescent="0.25">
      <c r="A17" s="13" t="s">
        <v>23</v>
      </c>
      <c r="B17" s="33">
        <f>'METAS 2019-2022'!D16</f>
        <v>0</v>
      </c>
      <c r="C17" s="16">
        <f>+'METAS 2019-2022'!E16</f>
        <v>0.1</v>
      </c>
      <c r="D17" s="16">
        <v>0.1</v>
      </c>
      <c r="E17" s="12">
        <f t="shared" si="0"/>
        <v>1</v>
      </c>
      <c r="F17" s="33">
        <f>'METAS 2019-2022'!I16</f>
        <v>1</v>
      </c>
      <c r="G17" s="30">
        <f>+D17</f>
        <v>0.1</v>
      </c>
      <c r="H17" s="31">
        <f>G17/F17</f>
        <v>0.1</v>
      </c>
    </row>
    <row r="18" spans="1:13" ht="69.75" customHeight="1" x14ac:dyDescent="0.25">
      <c r="A18" s="13" t="s">
        <v>24</v>
      </c>
      <c r="B18" s="34">
        <f>'METAS 2019-2022'!D17</f>
        <v>808</v>
      </c>
      <c r="C18" s="14">
        <f>+'METAS 2019-2022'!E17-'METAS 2019-2022'!D17</f>
        <v>60</v>
      </c>
      <c r="D18" s="14">
        <v>117</v>
      </c>
      <c r="E18" s="12">
        <f t="shared" si="0"/>
        <v>1.95</v>
      </c>
      <c r="F18" s="34">
        <f>'METAS 2019-2022'!I17</f>
        <v>1008</v>
      </c>
      <c r="G18" s="28">
        <f>+B18+D18</f>
        <v>925</v>
      </c>
      <c r="H18" s="31">
        <f>(G18-B18)/(F18-B18)</f>
        <v>0.58499999999999996</v>
      </c>
      <c r="M18" s="26"/>
    </row>
    <row r="19" spans="1:13" ht="39.75" customHeight="1" x14ac:dyDescent="0.25">
      <c r="A19" s="13" t="s">
        <v>61</v>
      </c>
      <c r="B19" s="34">
        <f>'METAS 2019-2022'!D18</f>
        <v>0</v>
      </c>
      <c r="C19" s="15" t="str">
        <f>+'METAS 2019-2022'!E18</f>
        <v>N/A</v>
      </c>
      <c r="D19" s="15" t="s">
        <v>42</v>
      </c>
      <c r="E19" s="12" t="s">
        <v>42</v>
      </c>
      <c r="F19" s="34">
        <f>'METAS 2019-2022'!I18</f>
        <v>1</v>
      </c>
      <c r="G19" s="28">
        <v>0</v>
      </c>
      <c r="H19" s="31">
        <f>G19/F19</f>
        <v>0</v>
      </c>
    </row>
    <row r="20" spans="1:13" ht="72" customHeight="1" x14ac:dyDescent="0.25">
      <c r="A20" s="13" t="s">
        <v>60</v>
      </c>
      <c r="B20" s="29">
        <f>'METAS 2019-2022'!D19</f>
        <v>1</v>
      </c>
      <c r="C20" s="15">
        <f>+'METAS 2019-2022'!E19</f>
        <v>1</v>
      </c>
      <c r="D20" s="15">
        <v>1</v>
      </c>
      <c r="E20" s="12">
        <f t="shared" si="0"/>
        <v>1</v>
      </c>
      <c r="F20" s="34">
        <f>'METAS 2019-2022'!I19</f>
        <v>4</v>
      </c>
      <c r="G20" s="28">
        <f>+D20</f>
        <v>1</v>
      </c>
      <c r="H20" s="30">
        <v>0.25</v>
      </c>
    </row>
    <row r="21" spans="1:13" ht="73.5" customHeight="1" x14ac:dyDescent="0.25">
      <c r="A21" s="13" t="s">
        <v>48</v>
      </c>
      <c r="B21" s="33">
        <f>'METAS 2019-2022'!D20</f>
        <v>0</v>
      </c>
      <c r="C21" s="16" t="str">
        <f>+'METAS 2019-2022'!E20</f>
        <v>N/A</v>
      </c>
      <c r="D21" s="27" t="s">
        <v>42</v>
      </c>
      <c r="E21" s="12" t="s">
        <v>42</v>
      </c>
      <c r="F21" s="33">
        <f>'METAS 2019-2022'!I20</f>
        <v>1</v>
      </c>
      <c r="G21" s="28">
        <v>0</v>
      </c>
      <c r="H21" s="31">
        <f>G21/F21</f>
        <v>0</v>
      </c>
    </row>
    <row r="22" spans="1:13" ht="63" customHeight="1" x14ac:dyDescent="0.25">
      <c r="A22" s="13" t="s">
        <v>64</v>
      </c>
      <c r="B22" s="33">
        <f>'METAS 2019-2022'!D21</f>
        <v>0</v>
      </c>
      <c r="C22" s="16">
        <f>+'METAS 2019-2022'!E21</f>
        <v>0.5</v>
      </c>
      <c r="D22" s="27">
        <v>0.5</v>
      </c>
      <c r="E22" s="12">
        <f t="shared" si="0"/>
        <v>1</v>
      </c>
      <c r="F22" s="33">
        <f>'METAS 2019-2022'!I21</f>
        <v>1</v>
      </c>
      <c r="G22" s="30">
        <f>+D22</f>
        <v>0.5</v>
      </c>
      <c r="H22" s="30">
        <v>0.5</v>
      </c>
    </row>
    <row r="24" spans="1:13" x14ac:dyDescent="0.25">
      <c r="A24" s="1" t="s">
        <v>47</v>
      </c>
    </row>
    <row r="25" spans="1:13" x14ac:dyDescent="0.25">
      <c r="A25" s="1" t="s">
        <v>59</v>
      </c>
    </row>
  </sheetData>
  <mergeCells count="5">
    <mergeCell ref="A1:H1"/>
    <mergeCell ref="C3:E3"/>
    <mergeCell ref="F3:H3"/>
    <mergeCell ref="A3:A4"/>
    <mergeCell ref="B3:B4"/>
  </mergeCells>
  <pageMargins left="0.7" right="0.7" top="0.75" bottom="0.75" header="0.3" footer="0.3"/>
  <pageSetup orientation="portrait" r:id="rId1"/>
  <ignoredErrors>
    <ignoredError sqref="H7 H9 G11:H11 H13 G14 G18:H18 G12:H12 H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5D7F2-8467-46B9-8C9A-9A21EEA6BB81}">
  <dimension ref="A1:K25"/>
  <sheetViews>
    <sheetView zoomScale="70" zoomScaleNormal="70" workbookViewId="0">
      <selection activeCell="G9" sqref="G9"/>
    </sheetView>
  </sheetViews>
  <sheetFormatPr baseColWidth="10" defaultRowHeight="14.25" x14ac:dyDescent="0.25"/>
  <cols>
    <col min="1" max="1" width="77.5703125" style="1" customWidth="1"/>
    <col min="2" max="2" width="25.140625" style="1" customWidth="1"/>
    <col min="3" max="6" width="25.140625" style="3" customWidth="1"/>
    <col min="7" max="8" width="25.140625" style="1" customWidth="1"/>
    <col min="9" max="16384" width="11.42578125" style="1"/>
  </cols>
  <sheetData>
    <row r="1" spans="1:11" ht="83.25" customHeight="1" x14ac:dyDescent="0.25">
      <c r="A1" s="74" t="s">
        <v>69</v>
      </c>
      <c r="B1" s="74"/>
      <c r="C1" s="74"/>
      <c r="D1" s="74"/>
      <c r="E1" s="74"/>
      <c r="F1" s="74"/>
      <c r="G1" s="74"/>
      <c r="H1" s="74"/>
    </row>
    <row r="2" spans="1:11" ht="21" customHeight="1" x14ac:dyDescent="0.25">
      <c r="A2" s="47"/>
      <c r="B2" s="47"/>
      <c r="C2" s="47"/>
      <c r="D2" s="47"/>
      <c r="E2" s="47"/>
      <c r="F2" s="47"/>
      <c r="G2" s="47"/>
      <c r="H2" s="47"/>
    </row>
    <row r="3" spans="1:11" ht="26.25" customHeight="1" x14ac:dyDescent="0.25">
      <c r="A3" s="72" t="s">
        <v>0</v>
      </c>
      <c r="B3" s="73" t="s">
        <v>3</v>
      </c>
      <c r="C3" s="70">
        <v>2020</v>
      </c>
      <c r="D3" s="70"/>
      <c r="E3" s="70"/>
      <c r="F3" s="71" t="s">
        <v>49</v>
      </c>
      <c r="G3" s="71"/>
      <c r="H3" s="71"/>
    </row>
    <row r="4" spans="1:11" ht="61.5" customHeight="1" x14ac:dyDescent="0.25">
      <c r="A4" s="72"/>
      <c r="B4" s="73"/>
      <c r="C4" s="48" t="s">
        <v>58</v>
      </c>
      <c r="D4" s="48" t="s">
        <v>56</v>
      </c>
      <c r="E4" s="48" t="s">
        <v>52</v>
      </c>
      <c r="F4" s="49" t="s">
        <v>50</v>
      </c>
      <c r="G4" s="49" t="s">
        <v>55</v>
      </c>
      <c r="H4" s="49" t="s">
        <v>52</v>
      </c>
    </row>
    <row r="5" spans="1:11" ht="55.5" customHeight="1" x14ac:dyDescent="0.25">
      <c r="A5" s="13" t="s">
        <v>5</v>
      </c>
      <c r="B5" s="34">
        <f>'METAS 2019-2022'!D4</f>
        <v>790000</v>
      </c>
      <c r="C5" s="14">
        <f>+'METAS 2019-2022'!F4-'METAS 2019-2022'!E4</f>
        <v>62000</v>
      </c>
      <c r="D5" s="14">
        <v>54434</v>
      </c>
      <c r="E5" s="12">
        <f>+D5/C5</f>
        <v>0.87796774193548388</v>
      </c>
      <c r="F5" s="34">
        <f>'METAS 2019-2022'!I4</f>
        <v>1185000</v>
      </c>
      <c r="G5" s="28">
        <v>905349</v>
      </c>
      <c r="H5" s="36">
        <f>(G5-B5)/(F5-B5)</f>
        <v>0.29202278481012656</v>
      </c>
      <c r="I5" s="46"/>
    </row>
    <row r="6" spans="1:11" ht="61.5" customHeight="1" x14ac:dyDescent="0.25">
      <c r="A6" s="13" t="s">
        <v>8</v>
      </c>
      <c r="B6" s="34">
        <f>'METAS 2019-2022'!D5</f>
        <v>559</v>
      </c>
      <c r="C6" s="15">
        <f>+'METAS 2019-2022'!F5</f>
        <v>500</v>
      </c>
      <c r="D6" s="15">
        <f>14+25+16+1+0+1+0+2+0+11+28+26</f>
        <v>124</v>
      </c>
      <c r="E6" s="12">
        <f t="shared" ref="E6:E22" si="0">+D6/C6</f>
        <v>0.248</v>
      </c>
      <c r="F6" s="34">
        <f>'METAS 2019-2022'!I5</f>
        <v>2000</v>
      </c>
      <c r="G6" s="29">
        <f>+'DICIEMBRE 2019'!G6+D6</f>
        <v>629</v>
      </c>
      <c r="H6" s="31">
        <f>G6/F6</f>
        <v>0.3145</v>
      </c>
    </row>
    <row r="7" spans="1:11" ht="45.75" customHeight="1" x14ac:dyDescent="0.25">
      <c r="A7" s="13" t="s">
        <v>11</v>
      </c>
      <c r="B7" s="33">
        <f>'METAS 2019-2022'!D6</f>
        <v>0.44</v>
      </c>
      <c r="C7" s="16">
        <f>+'METAS 2019-2022'!F6</f>
        <v>1</v>
      </c>
      <c r="D7" s="10">
        <v>1</v>
      </c>
      <c r="E7" s="12">
        <f>+D7/C7</f>
        <v>1</v>
      </c>
      <c r="F7" s="33">
        <f>'METAS 2019-2022'!I6</f>
        <v>1</v>
      </c>
      <c r="G7" s="30">
        <f>+E7</f>
        <v>1</v>
      </c>
      <c r="H7" s="31">
        <f>+G7/F7</f>
        <v>1</v>
      </c>
    </row>
    <row r="8" spans="1:11" ht="57" customHeight="1" x14ac:dyDescent="0.25">
      <c r="A8" s="13" t="s">
        <v>12</v>
      </c>
      <c r="B8" s="34">
        <f>'METAS 2019-2022'!D7</f>
        <v>0</v>
      </c>
      <c r="C8" s="15">
        <f>+'METAS 2019-2022'!F7</f>
        <v>5</v>
      </c>
      <c r="D8" s="15">
        <f>1+1+5</f>
        <v>7</v>
      </c>
      <c r="E8" s="12">
        <f>+D8/C8</f>
        <v>1.4</v>
      </c>
      <c r="F8" s="34">
        <f>'METAS 2019-2022'!I7</f>
        <v>10</v>
      </c>
      <c r="G8" s="29">
        <f>+'DICIEMBRE 2019'!D8+D8</f>
        <v>14</v>
      </c>
      <c r="H8" s="31">
        <f>G8/F8</f>
        <v>1.4</v>
      </c>
    </row>
    <row r="9" spans="1:11" ht="38.25" customHeight="1" x14ac:dyDescent="0.25">
      <c r="A9" s="13" t="s">
        <v>14</v>
      </c>
      <c r="B9" s="33">
        <f>'METAS 2019-2022'!D8</f>
        <v>0</v>
      </c>
      <c r="C9" s="16">
        <f>+'METAS 2019-2022'!F8</f>
        <v>0.25</v>
      </c>
      <c r="D9" s="53">
        <f>(2+0+0+0+0+0+7+2+0+0+1+0)/105</f>
        <v>0.11428571428571428</v>
      </c>
      <c r="E9" s="12">
        <f>+D9/C9</f>
        <v>0.45714285714285713</v>
      </c>
      <c r="F9" s="33">
        <f>'METAS 2019-2022'!I8</f>
        <v>1</v>
      </c>
      <c r="G9" s="36">
        <f>+'DICIEMBRE 2019'!D9+D9</f>
        <v>0.73333333333333339</v>
      </c>
      <c r="H9" s="36">
        <f>+G9/F9</f>
        <v>0.73333333333333339</v>
      </c>
    </row>
    <row r="10" spans="1:11" ht="38.25" customHeight="1" x14ac:dyDescent="0.25">
      <c r="A10" s="13" t="s">
        <v>15</v>
      </c>
      <c r="B10" s="34">
        <f>'METAS 2019-2022'!D9</f>
        <v>0</v>
      </c>
      <c r="C10" s="14">
        <f>+'METAS 2019-2022'!F9-'METAS 2019-2022'!E9</f>
        <v>210</v>
      </c>
      <c r="D10" s="15">
        <f>1+6+0+4+1+0+7+0+0+7+79+37</f>
        <v>142</v>
      </c>
      <c r="E10" s="12">
        <f t="shared" si="0"/>
        <v>0.67619047619047623</v>
      </c>
      <c r="F10" s="34">
        <f>'METAS 2019-2022'!I9</f>
        <v>840</v>
      </c>
      <c r="G10" s="29">
        <f>+'DICIEMBRE 2019'!D10+D10</f>
        <v>329</v>
      </c>
      <c r="H10" s="31">
        <f>G10/F10</f>
        <v>0.39166666666666666</v>
      </c>
    </row>
    <row r="11" spans="1:11" ht="33" customHeight="1" x14ac:dyDescent="0.25">
      <c r="A11" s="13" t="s">
        <v>17</v>
      </c>
      <c r="B11" s="34">
        <f>'METAS 2019-2022'!D10</f>
        <v>18</v>
      </c>
      <c r="C11" s="15">
        <f>+'METAS 2019-2022'!F10-'METAS 2019-2022'!E10</f>
        <v>1</v>
      </c>
      <c r="D11" s="14">
        <v>1</v>
      </c>
      <c r="E11" s="12">
        <f t="shared" si="0"/>
        <v>1</v>
      </c>
      <c r="F11" s="34">
        <f>'METAS 2019-2022'!I10</f>
        <v>25</v>
      </c>
      <c r="G11" s="28">
        <f>+B11+'DICIEMBRE 2019'!D11+D11</f>
        <v>26</v>
      </c>
      <c r="H11" s="31">
        <f>(G11-B11)/(F11-B11)</f>
        <v>1.1428571428571428</v>
      </c>
    </row>
    <row r="12" spans="1:11" ht="38.25" customHeight="1" x14ac:dyDescent="0.25">
      <c r="A12" s="13" t="s">
        <v>19</v>
      </c>
      <c r="B12" s="34">
        <f>'METAS 2019-2022'!D11</f>
        <v>0</v>
      </c>
      <c r="C12" s="15">
        <f>+'METAS 2019-2022'!F11</f>
        <v>22500</v>
      </c>
      <c r="D12" s="17">
        <f>4125+2924+2578+1143+937+1223+1863+1261+1804+1238+1883+1588</f>
        <v>22567</v>
      </c>
      <c r="E12" s="12">
        <f t="shared" si="0"/>
        <v>1.0029777777777777</v>
      </c>
      <c r="F12" s="34">
        <f>'METAS 2019-2022'!I11</f>
        <v>90000</v>
      </c>
      <c r="G12" s="32">
        <f>+'DICIEMBRE 2019'!D12+D12</f>
        <v>66758</v>
      </c>
      <c r="H12" s="31">
        <f>G12/F12</f>
        <v>0.7417555555555555</v>
      </c>
    </row>
    <row r="13" spans="1:11" ht="43.5" customHeight="1" x14ac:dyDescent="0.25">
      <c r="A13" s="13" t="s">
        <v>18</v>
      </c>
      <c r="B13" s="34">
        <f>'METAS 2019-2022'!D12</f>
        <v>1164</v>
      </c>
      <c r="C13" s="15">
        <f>+'METAS 2019-2022'!F12-'METAS 2019-2022'!E12</f>
        <v>310</v>
      </c>
      <c r="D13" s="14">
        <f>2+18+6+1+1+32+13+11+36+55+80+92</f>
        <v>347</v>
      </c>
      <c r="E13" s="12">
        <f t="shared" si="0"/>
        <v>1.1193548387096774</v>
      </c>
      <c r="F13" s="34">
        <f>'METAS 2019-2022'!I12</f>
        <v>2344</v>
      </c>
      <c r="G13" s="32">
        <f>B13+'DICIEMBRE 2019'!D13+D13</f>
        <v>1913</v>
      </c>
      <c r="H13" s="31">
        <f>(G13-B13)/(F13-B13)</f>
        <v>0.63474576271186445</v>
      </c>
      <c r="I13" s="26"/>
      <c r="K13" s="26"/>
    </row>
    <row r="14" spans="1:11" ht="74.25" customHeight="1" x14ac:dyDescent="0.25">
      <c r="A14" s="13" t="s">
        <v>20</v>
      </c>
      <c r="B14" s="34">
        <f>'METAS 2019-2022'!D13</f>
        <v>1</v>
      </c>
      <c r="C14" s="14">
        <f>+'METAS 2019-2022'!F13-B14</f>
        <v>1</v>
      </c>
      <c r="D14" s="14">
        <v>1</v>
      </c>
      <c r="E14" s="12">
        <f t="shared" si="0"/>
        <v>1</v>
      </c>
      <c r="F14" s="34">
        <f>'METAS 2019-2022'!I13</f>
        <v>5</v>
      </c>
      <c r="G14" s="28">
        <f>+B14+D14</f>
        <v>2</v>
      </c>
      <c r="H14" s="31">
        <f>(G14-B14)/(F14-B14)</f>
        <v>0.25</v>
      </c>
    </row>
    <row r="15" spans="1:11" ht="56.25" customHeight="1" x14ac:dyDescent="0.25">
      <c r="A15" s="13" t="s">
        <v>21</v>
      </c>
      <c r="B15" s="34">
        <f>'METAS 2019-2022'!D14</f>
        <v>57</v>
      </c>
      <c r="C15" s="15">
        <f>+'METAS 2019-2022'!F14-'METAS 2019-2022'!E14</f>
        <v>8</v>
      </c>
      <c r="D15" s="14">
        <f>0+0+1+1+1+0+0+0+2+0+1+3</f>
        <v>9</v>
      </c>
      <c r="E15" s="12">
        <f>+D15/C15</f>
        <v>1.125</v>
      </c>
      <c r="F15" s="34">
        <f>'METAS 2019-2022'!I14</f>
        <v>97</v>
      </c>
      <c r="G15" s="28">
        <f>+B15+'DICIEMBRE 2019'!D15+D15</f>
        <v>94</v>
      </c>
      <c r="H15" s="31">
        <f>(G15-B15)/(F15-B15)</f>
        <v>0.92500000000000004</v>
      </c>
      <c r="I15" s="26"/>
    </row>
    <row r="16" spans="1:11" ht="66" customHeight="1" x14ac:dyDescent="0.25">
      <c r="A16" s="13" t="s">
        <v>22</v>
      </c>
      <c r="B16" s="33">
        <f>'METAS 2019-2022'!D15</f>
        <v>0</v>
      </c>
      <c r="C16" s="16">
        <f>+'METAS 2019-2022'!F15-'METAS 2019-2022'!E15</f>
        <v>0.30000000000000004</v>
      </c>
      <c r="D16" s="16">
        <f>3%+3%+3%+3%+3%+3%+2%+3%+3%+3%+3%+3%</f>
        <v>0.35000000000000009</v>
      </c>
      <c r="E16" s="12">
        <f t="shared" si="0"/>
        <v>1.1666666666666667</v>
      </c>
      <c r="F16" s="33">
        <f>'METAS 2019-2022'!I15</f>
        <v>1</v>
      </c>
      <c r="G16" s="30">
        <f>+'DICIEMBRE 2019'!D16+D16</f>
        <v>0.45000000000000007</v>
      </c>
      <c r="H16" s="31">
        <f>G16/F16</f>
        <v>0.45000000000000007</v>
      </c>
    </row>
    <row r="17" spans="1:10" ht="116.25" customHeight="1" x14ac:dyDescent="0.25">
      <c r="A17" s="13" t="s">
        <v>23</v>
      </c>
      <c r="B17" s="33">
        <f>'METAS 2019-2022'!D16</f>
        <v>0</v>
      </c>
      <c r="C17" s="16">
        <f>+'METAS 2019-2022'!F16-'METAS 2019-2022'!E16</f>
        <v>0.30000000000000004</v>
      </c>
      <c r="D17" s="16">
        <f>3%+3%+3%+3%+3%+3%+3%+3%+3%+3%+3%+3%</f>
        <v>0.3600000000000001</v>
      </c>
      <c r="E17" s="12">
        <f>+D17/C17</f>
        <v>1.2000000000000002</v>
      </c>
      <c r="F17" s="33">
        <f>'METAS 2019-2022'!I16</f>
        <v>1</v>
      </c>
      <c r="G17" s="30">
        <f>+'DICIEMBRE 2019'!D17+D17</f>
        <v>0.46000000000000008</v>
      </c>
      <c r="H17" s="31">
        <f>G17/F17</f>
        <v>0.46000000000000008</v>
      </c>
    </row>
    <row r="18" spans="1:10" ht="69.75" customHeight="1" x14ac:dyDescent="0.25">
      <c r="A18" s="13" t="s">
        <v>24</v>
      </c>
      <c r="B18" s="34">
        <f>'METAS 2019-2022'!D17</f>
        <v>808</v>
      </c>
      <c r="C18" s="15">
        <f>+'METAS 2019-2022'!F17-'METAS 2019-2022'!E17</f>
        <v>40</v>
      </c>
      <c r="D18" s="14">
        <f>9+3+9+3+2+6+9+7+9+8+11+10</f>
        <v>86</v>
      </c>
      <c r="E18" s="12">
        <f t="shared" si="0"/>
        <v>2.15</v>
      </c>
      <c r="F18" s="34">
        <f>'METAS 2019-2022'!I17</f>
        <v>1008</v>
      </c>
      <c r="G18" s="28">
        <f>+B18+'DICIEMBRE 2019'!D18+D18</f>
        <v>1011</v>
      </c>
      <c r="H18" s="31">
        <f>(G18-B18)/(F18-B18)</f>
        <v>1.0149999999999999</v>
      </c>
      <c r="I18" s="26"/>
      <c r="J18" s="26"/>
    </row>
    <row r="19" spans="1:10" ht="39.75" customHeight="1" x14ac:dyDescent="0.25">
      <c r="A19" s="13" t="s">
        <v>61</v>
      </c>
      <c r="B19" s="34">
        <f>'METAS 2019-2022'!D18</f>
        <v>0</v>
      </c>
      <c r="C19" s="16" t="str">
        <f>+'METAS 2019-2022'!F18</f>
        <v>N/A</v>
      </c>
      <c r="D19" s="15" t="s">
        <v>42</v>
      </c>
      <c r="E19" s="12" t="s">
        <v>42</v>
      </c>
      <c r="F19" s="34">
        <f>'METAS 2019-2022'!I18</f>
        <v>1</v>
      </c>
      <c r="G19" s="29">
        <v>0</v>
      </c>
      <c r="H19" s="31">
        <f>G19/F19</f>
        <v>0</v>
      </c>
    </row>
    <row r="20" spans="1:10" ht="72" customHeight="1" x14ac:dyDescent="0.25">
      <c r="A20" s="13" t="s">
        <v>60</v>
      </c>
      <c r="B20" s="29">
        <f>'METAS 2019-2022'!D19</f>
        <v>1</v>
      </c>
      <c r="C20" s="15">
        <f>+'METAS 2019-2022'!F19</f>
        <v>1</v>
      </c>
      <c r="D20" s="15">
        <v>1</v>
      </c>
      <c r="E20" s="45">
        <f t="shared" si="0"/>
        <v>1</v>
      </c>
      <c r="F20" s="34">
        <f>'METAS 2019-2022'!I19</f>
        <v>4</v>
      </c>
      <c r="G20" s="29">
        <f>+'DICIEMBRE 2019'!D20+D20</f>
        <v>2</v>
      </c>
      <c r="H20" s="30">
        <f>+G20/F20</f>
        <v>0.5</v>
      </c>
    </row>
    <row r="21" spans="1:10" ht="73.5" customHeight="1" x14ac:dyDescent="0.25">
      <c r="A21" s="13" t="s">
        <v>48</v>
      </c>
      <c r="B21" s="33">
        <f>'METAS 2019-2022'!D20</f>
        <v>0</v>
      </c>
      <c r="C21" s="16" t="str">
        <f>+'METAS 2019-2022'!F20</f>
        <v>N/A</v>
      </c>
      <c r="D21" s="15" t="s">
        <v>42</v>
      </c>
      <c r="E21" s="12" t="s">
        <v>42</v>
      </c>
      <c r="F21" s="33">
        <f>'METAS 2019-2022'!I20</f>
        <v>1</v>
      </c>
      <c r="G21" s="33">
        <v>0</v>
      </c>
      <c r="H21" s="31">
        <f>G21/F21</f>
        <v>0</v>
      </c>
    </row>
    <row r="22" spans="1:10" ht="63" customHeight="1" x14ac:dyDescent="0.25">
      <c r="A22" s="13" t="s">
        <v>64</v>
      </c>
      <c r="B22" s="33">
        <f>'METAS 2019-2022'!D21</f>
        <v>0</v>
      </c>
      <c r="C22" s="16">
        <f>+'METAS 2019-2022'!F21</f>
        <v>0.5</v>
      </c>
      <c r="D22" s="27">
        <f>10%+40%</f>
        <v>0.5</v>
      </c>
      <c r="E22" s="45">
        <f t="shared" si="0"/>
        <v>1</v>
      </c>
      <c r="F22" s="33">
        <f>'METAS 2019-2022'!I21</f>
        <v>1</v>
      </c>
      <c r="G22" s="30">
        <f>+'DICIEMBRE 2019'!D22+D22</f>
        <v>1</v>
      </c>
      <c r="H22" s="30">
        <f>+G22/F22</f>
        <v>1</v>
      </c>
    </row>
    <row r="23" spans="1:10" ht="57" x14ac:dyDescent="0.25">
      <c r="A23" s="13" t="s">
        <v>71</v>
      </c>
      <c r="B23" s="33">
        <v>0</v>
      </c>
      <c r="C23" s="15" t="s">
        <v>42</v>
      </c>
      <c r="D23" s="15" t="s">
        <v>42</v>
      </c>
      <c r="E23" s="15" t="s">
        <v>42</v>
      </c>
      <c r="F23" s="33">
        <v>1</v>
      </c>
      <c r="G23" s="33">
        <v>0</v>
      </c>
      <c r="H23" s="33">
        <v>0</v>
      </c>
    </row>
    <row r="24" spans="1:10" x14ac:dyDescent="0.25">
      <c r="A24" s="1" t="s">
        <v>47</v>
      </c>
    </row>
    <row r="25" spans="1:10" x14ac:dyDescent="0.25">
      <c r="A25" s="1" t="s">
        <v>59</v>
      </c>
    </row>
  </sheetData>
  <mergeCells count="5">
    <mergeCell ref="A1:H1"/>
    <mergeCell ref="A3:A4"/>
    <mergeCell ref="B3:B4"/>
    <mergeCell ref="C3:E3"/>
    <mergeCell ref="F3:H3"/>
  </mergeCells>
  <pageMargins left="0.7" right="0.7" top="0.75" bottom="0.75" header="0.3" footer="0.3"/>
  <ignoredErrors>
    <ignoredError sqref="H18 H20:H21 H6:H8 H9 H11:H1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0E69B-7E3C-45B9-9F57-C73554D8C684}">
  <dimension ref="A1:K25"/>
  <sheetViews>
    <sheetView zoomScale="70" zoomScaleNormal="70" workbookViewId="0">
      <selection sqref="A1:H1"/>
    </sheetView>
  </sheetViews>
  <sheetFormatPr baseColWidth="10" defaultRowHeight="14.25" x14ac:dyDescent="0.25"/>
  <cols>
    <col min="1" max="1" width="77.5703125" style="1" customWidth="1"/>
    <col min="2" max="2" width="25.140625" style="1" customWidth="1"/>
    <col min="3" max="6" width="25.140625" style="3" customWidth="1"/>
    <col min="7" max="8" width="25.140625" style="1" customWidth="1"/>
    <col min="9" max="16384" width="11.42578125" style="1"/>
  </cols>
  <sheetData>
    <row r="1" spans="1:11" ht="83.25" customHeight="1" x14ac:dyDescent="0.25">
      <c r="A1" s="74" t="s">
        <v>72</v>
      </c>
      <c r="B1" s="74"/>
      <c r="C1" s="74"/>
      <c r="D1" s="74"/>
      <c r="E1" s="74"/>
      <c r="F1" s="74"/>
      <c r="G1" s="74"/>
      <c r="H1" s="74"/>
    </row>
    <row r="2" spans="1:11" ht="21" customHeight="1" x14ac:dyDescent="0.25">
      <c r="A2" s="50"/>
      <c r="B2" s="50"/>
      <c r="C2" s="50"/>
      <c r="D2" s="50"/>
      <c r="E2" s="50"/>
      <c r="F2" s="50"/>
      <c r="G2" s="50"/>
      <c r="H2" s="50"/>
    </row>
    <row r="3" spans="1:11" ht="26.25" customHeight="1" x14ac:dyDescent="0.25">
      <c r="A3" s="72" t="s">
        <v>0</v>
      </c>
      <c r="B3" s="73" t="s">
        <v>3</v>
      </c>
      <c r="C3" s="70">
        <v>2021</v>
      </c>
      <c r="D3" s="70"/>
      <c r="E3" s="70"/>
      <c r="F3" s="71" t="s">
        <v>49</v>
      </c>
      <c r="G3" s="71"/>
      <c r="H3" s="71"/>
    </row>
    <row r="4" spans="1:11" ht="61.5" customHeight="1" x14ac:dyDescent="0.25">
      <c r="A4" s="72"/>
      <c r="B4" s="73"/>
      <c r="C4" s="51" t="s">
        <v>58</v>
      </c>
      <c r="D4" s="51" t="s">
        <v>53</v>
      </c>
      <c r="E4" s="51" t="s">
        <v>52</v>
      </c>
      <c r="F4" s="52" t="s">
        <v>50</v>
      </c>
      <c r="G4" s="52" t="s">
        <v>51</v>
      </c>
      <c r="H4" s="52" t="s">
        <v>52</v>
      </c>
    </row>
    <row r="5" spans="1:11" ht="55.5" customHeight="1" x14ac:dyDescent="0.25">
      <c r="A5" s="13" t="s">
        <v>5</v>
      </c>
      <c r="B5" s="34">
        <f>'METAS 2019-2022'!D4</f>
        <v>790000</v>
      </c>
      <c r="C5" s="14">
        <f>+'METAS 2019-2022'!G4-'DICIEMBRE 2020'!G5</f>
        <v>143251</v>
      </c>
      <c r="D5" s="14">
        <v>4258</v>
      </c>
      <c r="E5" s="12">
        <f>+D5/C5</f>
        <v>2.972405079196655E-2</v>
      </c>
      <c r="F5" s="34">
        <f>'METAS 2019-2022'!I4</f>
        <v>1185000</v>
      </c>
      <c r="G5" s="28">
        <f>'DICIEMBRE 2020'!G5+'ENERO 2021'!D5</f>
        <v>909607</v>
      </c>
      <c r="H5" s="36">
        <f>(G5-B5)/(F5-B5)</f>
        <v>0.30280253164556964</v>
      </c>
      <c r="I5" s="46"/>
    </row>
    <row r="6" spans="1:11" ht="61.5" customHeight="1" x14ac:dyDescent="0.25">
      <c r="A6" s="13" t="s">
        <v>8</v>
      </c>
      <c r="B6" s="34">
        <f>'METAS 2019-2022'!D5</f>
        <v>559</v>
      </c>
      <c r="C6" s="15">
        <f>+'METAS 2019-2022'!G5</f>
        <v>500</v>
      </c>
      <c r="D6" s="15">
        <v>23</v>
      </c>
      <c r="E6" s="12">
        <f t="shared" ref="E6:E20" si="0">+D6/C6</f>
        <v>4.5999999999999999E-2</v>
      </c>
      <c r="F6" s="34">
        <f>'METAS 2019-2022'!I5</f>
        <v>2000</v>
      </c>
      <c r="G6" s="29">
        <f>+'DICIEMBRE 2020'!G6+'ENERO 2021'!D6</f>
        <v>652</v>
      </c>
      <c r="H6" s="31">
        <f>G6/F6</f>
        <v>0.32600000000000001</v>
      </c>
    </row>
    <row r="7" spans="1:11" ht="45.75" customHeight="1" x14ac:dyDescent="0.25">
      <c r="A7" s="13" t="s">
        <v>11</v>
      </c>
      <c r="B7" s="33">
        <f>'METAS 2019-2022'!D6</f>
        <v>0.44</v>
      </c>
      <c r="C7" s="16">
        <f>+'METAS 2019-2022'!G6</f>
        <v>1</v>
      </c>
      <c r="D7" s="10">
        <v>0</v>
      </c>
      <c r="E7" s="12">
        <f>+D7/C7</f>
        <v>0</v>
      </c>
      <c r="F7" s="33">
        <f>'METAS 2019-2022'!I6</f>
        <v>1</v>
      </c>
      <c r="G7" s="30">
        <f>+D7</f>
        <v>0</v>
      </c>
      <c r="H7" s="31">
        <f>+G7/F7</f>
        <v>0</v>
      </c>
    </row>
    <row r="8" spans="1:11" ht="57" customHeight="1" x14ac:dyDescent="0.25">
      <c r="A8" s="13" t="s">
        <v>12</v>
      </c>
      <c r="B8" s="34">
        <f>'METAS 2019-2022'!D7</f>
        <v>0</v>
      </c>
      <c r="C8" s="15" t="s">
        <v>42</v>
      </c>
      <c r="D8" s="15" t="s">
        <v>42</v>
      </c>
      <c r="E8" s="12" t="s">
        <v>42</v>
      </c>
      <c r="F8" s="34">
        <f>'METAS 2019-2022'!I7</f>
        <v>10</v>
      </c>
      <c r="G8" s="29">
        <f>+'DICIEMBRE 2020'!G8</f>
        <v>14</v>
      </c>
      <c r="H8" s="31">
        <f>G8/F8</f>
        <v>1.4</v>
      </c>
    </row>
    <row r="9" spans="1:11" ht="38.25" customHeight="1" x14ac:dyDescent="0.25">
      <c r="A9" s="13" t="s">
        <v>14</v>
      </c>
      <c r="B9" s="33">
        <f>'METAS 2019-2022'!D8</f>
        <v>0</v>
      </c>
      <c r="C9" s="16">
        <f>+'METAS 2019-2022'!I8-'DICIEMBRE 2020'!G9</f>
        <v>0.26666666666666661</v>
      </c>
      <c r="D9" s="53">
        <f>(0)/105</f>
        <v>0</v>
      </c>
      <c r="E9" s="12">
        <f>+D9/C9</f>
        <v>0</v>
      </c>
      <c r="F9" s="33">
        <f>'METAS 2019-2022'!I8</f>
        <v>1</v>
      </c>
      <c r="G9" s="31">
        <f>+'DICIEMBRE 2020'!G9+'ENERO 2021'!D9</f>
        <v>0.73333333333333339</v>
      </c>
      <c r="H9" s="36">
        <f>+G9/F9</f>
        <v>0.73333333333333339</v>
      </c>
    </row>
    <row r="10" spans="1:11" ht="38.25" customHeight="1" x14ac:dyDescent="0.25">
      <c r="A10" s="13" t="s">
        <v>15</v>
      </c>
      <c r="B10" s="34">
        <f>'METAS 2019-2022'!D9</f>
        <v>0</v>
      </c>
      <c r="C10" s="14">
        <f>+'METAS 2019-2022'!G9-'DICIEMBRE 2020'!G10</f>
        <v>301</v>
      </c>
      <c r="D10" s="15">
        <v>5</v>
      </c>
      <c r="E10" s="12">
        <f>+D10/C10</f>
        <v>1.6611295681063124E-2</v>
      </c>
      <c r="F10" s="34">
        <f>'METAS 2019-2022'!I9</f>
        <v>840</v>
      </c>
      <c r="G10" s="29">
        <f>+'DICIEMBRE 2020'!G10+'ENERO 2021'!D10</f>
        <v>334</v>
      </c>
      <c r="H10" s="31">
        <f>G10/F10</f>
        <v>0.39761904761904759</v>
      </c>
    </row>
    <row r="11" spans="1:11" ht="33" customHeight="1" x14ac:dyDescent="0.25">
      <c r="A11" s="13" t="s">
        <v>17</v>
      </c>
      <c r="B11" s="34">
        <f>'METAS 2019-2022'!D10</f>
        <v>18</v>
      </c>
      <c r="C11" s="15">
        <f>+'METAS 2019-2022'!G10-'METAS 2019-2022'!F10</f>
        <v>1</v>
      </c>
      <c r="D11" s="14">
        <v>0</v>
      </c>
      <c r="E11" s="12">
        <f t="shared" si="0"/>
        <v>0</v>
      </c>
      <c r="F11" s="34">
        <f>'METAS 2019-2022'!I10</f>
        <v>25</v>
      </c>
      <c r="G11" s="28">
        <f>+'DICIEMBRE 2020'!G11+'ENERO 2021'!D11</f>
        <v>26</v>
      </c>
      <c r="H11" s="31">
        <f>(G11-B11)/(F11-B11)</f>
        <v>1.1428571428571428</v>
      </c>
    </row>
    <row r="12" spans="1:11" ht="38.25" customHeight="1" x14ac:dyDescent="0.25">
      <c r="A12" s="13" t="s">
        <v>19</v>
      </c>
      <c r="B12" s="34">
        <f>'METAS 2019-2022'!D11</f>
        <v>0</v>
      </c>
      <c r="C12" s="15">
        <f>+'METAS 2019-2022'!G11</f>
        <v>22500</v>
      </c>
      <c r="D12" s="17">
        <v>2011</v>
      </c>
      <c r="E12" s="12">
        <f t="shared" si="0"/>
        <v>8.9377777777777778E-2</v>
      </c>
      <c r="F12" s="34">
        <f>'METAS 2019-2022'!I11</f>
        <v>90000</v>
      </c>
      <c r="G12" s="32">
        <f>+'DICIEMBRE 2020'!G12+'ENERO 2021'!D12</f>
        <v>68769</v>
      </c>
      <c r="H12" s="31">
        <f>G12/F12</f>
        <v>0.7641</v>
      </c>
    </row>
    <row r="13" spans="1:11" ht="43.5" customHeight="1" x14ac:dyDescent="0.25">
      <c r="A13" s="13" t="s">
        <v>18</v>
      </c>
      <c r="B13" s="34">
        <f>'METAS 2019-2022'!D12</f>
        <v>1164</v>
      </c>
      <c r="C13" s="15">
        <f>+'METAS 2019-2022'!G12-'METAS 2019-2022'!F12</f>
        <v>310</v>
      </c>
      <c r="D13" s="14">
        <v>5</v>
      </c>
      <c r="E13" s="12">
        <f t="shared" si="0"/>
        <v>1.6129032258064516E-2</v>
      </c>
      <c r="F13" s="34">
        <f>'METAS 2019-2022'!I12</f>
        <v>2344</v>
      </c>
      <c r="G13" s="32">
        <f>+'DICIEMBRE 2020'!G13+'ENERO 2021'!D13</f>
        <v>1918</v>
      </c>
      <c r="H13" s="31">
        <f>(G13-B13)/(F13-B13)</f>
        <v>0.63898305084745766</v>
      </c>
      <c r="I13" s="26"/>
      <c r="K13" s="26"/>
    </row>
    <row r="14" spans="1:11" ht="74.25" customHeight="1" x14ac:dyDescent="0.25">
      <c r="A14" s="13" t="s">
        <v>20</v>
      </c>
      <c r="B14" s="34">
        <f>'METAS 2019-2022'!D13</f>
        <v>1</v>
      </c>
      <c r="C14" s="14">
        <f>+'METAS 2019-2022'!G13-'METAS 2019-2022'!F13</f>
        <v>1</v>
      </c>
      <c r="D14" s="14">
        <v>1</v>
      </c>
      <c r="E14" s="12">
        <f t="shared" si="0"/>
        <v>1</v>
      </c>
      <c r="F14" s="34">
        <f>'METAS 2019-2022'!I13</f>
        <v>5</v>
      </c>
      <c r="G14" s="28">
        <f>+'DICIEMBRE 2020'!G14+'ENERO 2021'!D14</f>
        <v>3</v>
      </c>
      <c r="H14" s="31">
        <f>(G14-B14)/(F14-B14)</f>
        <v>0.5</v>
      </c>
    </row>
    <row r="15" spans="1:11" ht="56.25" customHeight="1" x14ac:dyDescent="0.25">
      <c r="A15" s="13" t="s">
        <v>21</v>
      </c>
      <c r="B15" s="34">
        <f>'METAS 2019-2022'!D14</f>
        <v>57</v>
      </c>
      <c r="C15" s="15">
        <f>+'METAS 2019-2022'!G14-'METAS 2019-2022'!F14</f>
        <v>10</v>
      </c>
      <c r="D15" s="14">
        <v>1</v>
      </c>
      <c r="E15" s="12">
        <f>+D15/C15</f>
        <v>0.1</v>
      </c>
      <c r="F15" s="34">
        <f>'METAS 2019-2022'!I14</f>
        <v>97</v>
      </c>
      <c r="G15" s="28">
        <f>+'DICIEMBRE 2020'!G15+'ENERO 2021'!D15</f>
        <v>95</v>
      </c>
      <c r="H15" s="31">
        <f>(G15-B15)/(F15-B15)</f>
        <v>0.95</v>
      </c>
      <c r="I15" s="26"/>
    </row>
    <row r="16" spans="1:11" ht="66" customHeight="1" x14ac:dyDescent="0.25">
      <c r="A16" s="13" t="s">
        <v>22</v>
      </c>
      <c r="B16" s="33">
        <f>'METAS 2019-2022'!D15</f>
        <v>0</v>
      </c>
      <c r="C16" s="16">
        <f>+'METAS 2019-2022'!G15-'METAS 2019-2022'!F15</f>
        <v>0.29999999999999993</v>
      </c>
      <c r="D16" s="16">
        <v>0.05</v>
      </c>
      <c r="E16" s="12">
        <f t="shared" si="0"/>
        <v>0.16666666666666671</v>
      </c>
      <c r="F16" s="33">
        <f>'METAS 2019-2022'!I15</f>
        <v>1</v>
      </c>
      <c r="G16" s="30">
        <f>+'DICIEMBRE 2020'!G16+'ENERO 2021'!D16</f>
        <v>0.50000000000000011</v>
      </c>
      <c r="H16" s="31">
        <f>G16/F16</f>
        <v>0.50000000000000011</v>
      </c>
    </row>
    <row r="17" spans="1:10" ht="116.25" customHeight="1" x14ac:dyDescent="0.25">
      <c r="A17" s="13" t="s">
        <v>23</v>
      </c>
      <c r="B17" s="33">
        <f>'METAS 2019-2022'!D16</f>
        <v>0</v>
      </c>
      <c r="C17" s="16">
        <f>+'METAS 2019-2022'!G16-'METAS 2019-2022'!F16</f>
        <v>0.29999999999999993</v>
      </c>
      <c r="D17" s="16">
        <v>0.03</v>
      </c>
      <c r="E17" s="12">
        <f>+D17/C17</f>
        <v>0.10000000000000002</v>
      </c>
      <c r="F17" s="33">
        <f>'METAS 2019-2022'!I16</f>
        <v>1</v>
      </c>
      <c r="G17" s="30">
        <f>+'DICIEMBRE 2020'!G17+'ENERO 2021'!D17</f>
        <v>0.4900000000000001</v>
      </c>
      <c r="H17" s="31">
        <f>G17/F17</f>
        <v>0.4900000000000001</v>
      </c>
    </row>
    <row r="18" spans="1:10" ht="69.75" customHeight="1" x14ac:dyDescent="0.25">
      <c r="A18" s="13" t="s">
        <v>24</v>
      </c>
      <c r="B18" s="34">
        <f>'METAS 2019-2022'!D17</f>
        <v>808</v>
      </c>
      <c r="C18" s="15">
        <f>+'METAS 2019-2022'!G17-'METAS 2019-2022'!F17</f>
        <v>60</v>
      </c>
      <c r="D18" s="14">
        <v>8</v>
      </c>
      <c r="E18" s="12">
        <f t="shared" si="0"/>
        <v>0.13333333333333333</v>
      </c>
      <c r="F18" s="34">
        <f>'METAS 2019-2022'!I17</f>
        <v>1008</v>
      </c>
      <c r="G18" s="28">
        <f>+'DICIEMBRE 2020'!G18+'ENERO 2021'!D18</f>
        <v>1019</v>
      </c>
      <c r="H18" s="31">
        <f>(G18-B18)/(F18-B18)</f>
        <v>1.0549999999999999</v>
      </c>
      <c r="I18" s="26"/>
      <c r="J18" s="26"/>
    </row>
    <row r="19" spans="1:10" ht="39.75" customHeight="1" x14ac:dyDescent="0.25">
      <c r="A19" s="13" t="s">
        <v>61</v>
      </c>
      <c r="B19" s="34">
        <f>'METAS 2019-2022'!D18</f>
        <v>0</v>
      </c>
      <c r="C19" s="16" t="str">
        <f>+'METAS 2019-2022'!G18</f>
        <v>N/A</v>
      </c>
      <c r="D19" s="15" t="s">
        <v>42</v>
      </c>
      <c r="E19" s="12" t="s">
        <v>42</v>
      </c>
      <c r="F19" s="34">
        <f>'METAS 2019-2022'!I18</f>
        <v>1</v>
      </c>
      <c r="G19" s="29">
        <v>0</v>
      </c>
      <c r="H19" s="31">
        <f>G19/F19</f>
        <v>0</v>
      </c>
    </row>
    <row r="20" spans="1:10" ht="72" customHeight="1" x14ac:dyDescent="0.25">
      <c r="A20" s="13" t="s">
        <v>60</v>
      </c>
      <c r="B20" s="29">
        <f>'METAS 2019-2022'!D19</f>
        <v>1</v>
      </c>
      <c r="C20" s="15">
        <f>+'METAS 2019-2022'!G19</f>
        <v>1</v>
      </c>
      <c r="D20" s="15">
        <v>0</v>
      </c>
      <c r="E20" s="45">
        <f t="shared" si="0"/>
        <v>0</v>
      </c>
      <c r="F20" s="34">
        <f>'METAS 2019-2022'!I19</f>
        <v>4</v>
      </c>
      <c r="G20" s="29">
        <f>+'DICIEMBRE 2020'!G20+'ENERO 2021'!D20</f>
        <v>2</v>
      </c>
      <c r="H20" s="30">
        <f>+G20/F20</f>
        <v>0.5</v>
      </c>
    </row>
    <row r="21" spans="1:10" ht="73.5" customHeight="1" x14ac:dyDescent="0.25">
      <c r="A21" s="13" t="s">
        <v>48</v>
      </c>
      <c r="B21" s="33">
        <f>'METAS 2019-2022'!D20</f>
        <v>0</v>
      </c>
      <c r="C21" s="16" t="str">
        <f>+'METAS 2019-2022'!G20</f>
        <v>N/A</v>
      </c>
      <c r="D21" s="15" t="s">
        <v>42</v>
      </c>
      <c r="E21" s="12" t="s">
        <v>42</v>
      </c>
      <c r="F21" s="33">
        <f>'METAS 2019-2022'!I20</f>
        <v>1</v>
      </c>
      <c r="G21" s="33">
        <v>0</v>
      </c>
      <c r="H21" s="31">
        <f>G21/F21</f>
        <v>0</v>
      </c>
    </row>
    <row r="22" spans="1:10" ht="63" customHeight="1" x14ac:dyDescent="0.25">
      <c r="A22" s="13" t="s">
        <v>64</v>
      </c>
      <c r="B22" s="33">
        <f>'METAS 2019-2022'!D21</f>
        <v>0</v>
      </c>
      <c r="C22" s="16" t="str">
        <f>+'METAS 2019-2022'!G21</f>
        <v>N/A</v>
      </c>
      <c r="D22" s="27" t="s">
        <v>42</v>
      </c>
      <c r="E22" s="45" t="s">
        <v>42</v>
      </c>
      <c r="F22" s="33">
        <f>'METAS 2019-2022'!I21</f>
        <v>1</v>
      </c>
      <c r="G22" s="30">
        <f>+'DICIEMBRE 2020'!G22</f>
        <v>1</v>
      </c>
      <c r="H22" s="30">
        <f>+G22/F22</f>
        <v>1</v>
      </c>
    </row>
    <row r="23" spans="1:10" ht="57" x14ac:dyDescent="0.25">
      <c r="A23" s="13" t="s">
        <v>71</v>
      </c>
      <c r="B23" s="33">
        <v>0</v>
      </c>
      <c r="C23" s="16">
        <f>+'METAS 2019-2022'!G22</f>
        <v>1</v>
      </c>
      <c r="D23" s="16">
        <v>0</v>
      </c>
      <c r="E23" s="10">
        <f>+D23/C23</f>
        <v>0</v>
      </c>
      <c r="F23" s="33">
        <f>+'METAS 2019-2022'!I22</f>
        <v>1</v>
      </c>
      <c r="G23" s="33">
        <f>+D23</f>
        <v>0</v>
      </c>
      <c r="H23" s="33">
        <f>+G23/F23</f>
        <v>0</v>
      </c>
    </row>
    <row r="24" spans="1:10" x14ac:dyDescent="0.25">
      <c r="A24" s="1" t="s">
        <v>47</v>
      </c>
    </row>
    <row r="25" spans="1:10" x14ac:dyDescent="0.25">
      <c r="A25" s="1" t="s">
        <v>59</v>
      </c>
    </row>
  </sheetData>
  <mergeCells count="5">
    <mergeCell ref="A1:H1"/>
    <mergeCell ref="A3:A4"/>
    <mergeCell ref="B3:B4"/>
    <mergeCell ref="C3:E3"/>
    <mergeCell ref="F3:H3"/>
  </mergeCells>
  <pageMargins left="0.7" right="0.7" top="0.75" bottom="0.75" header="0.3" footer="0.3"/>
  <ignoredErrors>
    <ignoredError sqref="H8:H9 H6:H7 H11:H12 H18 H20:H2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267CE-8FAC-4805-B439-9E88AC682E28}">
  <dimension ref="A1:K25"/>
  <sheetViews>
    <sheetView zoomScale="70" zoomScaleNormal="70" workbookViewId="0">
      <selection sqref="A1:H1"/>
    </sheetView>
  </sheetViews>
  <sheetFormatPr baseColWidth="10" defaultRowHeight="14.25" x14ac:dyDescent="0.25"/>
  <cols>
    <col min="1" max="1" width="77.5703125" style="1" customWidth="1"/>
    <col min="2" max="2" width="25.140625" style="1" customWidth="1"/>
    <col min="3" max="6" width="25.140625" style="3" customWidth="1"/>
    <col min="7" max="8" width="25.140625" style="1" customWidth="1"/>
    <col min="9" max="16384" width="11.42578125" style="1"/>
  </cols>
  <sheetData>
    <row r="1" spans="1:11" ht="83.25" customHeight="1" x14ac:dyDescent="0.25">
      <c r="A1" s="74" t="s">
        <v>73</v>
      </c>
      <c r="B1" s="74"/>
      <c r="C1" s="74"/>
      <c r="D1" s="74"/>
      <c r="E1" s="74"/>
      <c r="F1" s="74"/>
      <c r="G1" s="74"/>
      <c r="H1" s="74"/>
    </row>
    <row r="2" spans="1:11" ht="21" customHeight="1" x14ac:dyDescent="0.25">
      <c r="A2" s="54"/>
      <c r="B2" s="54"/>
      <c r="C2" s="54"/>
      <c r="D2" s="54"/>
      <c r="E2" s="54"/>
      <c r="F2" s="54"/>
      <c r="G2" s="54"/>
      <c r="H2" s="54"/>
    </row>
    <row r="3" spans="1:11" ht="26.25" customHeight="1" x14ac:dyDescent="0.25">
      <c r="A3" s="72" t="s">
        <v>0</v>
      </c>
      <c r="B3" s="73" t="s">
        <v>3</v>
      </c>
      <c r="C3" s="70">
        <v>2021</v>
      </c>
      <c r="D3" s="70"/>
      <c r="E3" s="70"/>
      <c r="F3" s="71" t="s">
        <v>49</v>
      </c>
      <c r="G3" s="71"/>
      <c r="H3" s="71"/>
    </row>
    <row r="4" spans="1:11" ht="61.5" customHeight="1" x14ac:dyDescent="0.25">
      <c r="A4" s="72"/>
      <c r="B4" s="73"/>
      <c r="C4" s="55" t="s">
        <v>58</v>
      </c>
      <c r="D4" s="55" t="s">
        <v>74</v>
      </c>
      <c r="E4" s="55" t="s">
        <v>52</v>
      </c>
      <c r="F4" s="56" t="s">
        <v>50</v>
      </c>
      <c r="G4" s="56" t="s">
        <v>75</v>
      </c>
      <c r="H4" s="56" t="s">
        <v>52</v>
      </c>
    </row>
    <row r="5" spans="1:11" ht="55.5" customHeight="1" x14ac:dyDescent="0.25">
      <c r="A5" s="13" t="s">
        <v>5</v>
      </c>
      <c r="B5" s="34">
        <f>'METAS 2019-2022'!D4</f>
        <v>790000</v>
      </c>
      <c r="C5" s="14">
        <f>+'METAS 2019-2022'!G4-'DICIEMBRE 2020'!G5</f>
        <v>143251</v>
      </c>
      <c r="D5" s="14">
        <f>4258+5553</f>
        <v>9811</v>
      </c>
      <c r="E5" s="12">
        <f>+D5/C5</f>
        <v>6.8488178092997606E-2</v>
      </c>
      <c r="F5" s="34">
        <f>'METAS 2019-2022'!I4</f>
        <v>1185000</v>
      </c>
      <c r="G5" s="28">
        <f>'DICIEMBRE 2020'!G5+D5</f>
        <v>915160</v>
      </c>
      <c r="H5" s="36">
        <f>(G5-B5)/(F5-B5)</f>
        <v>0.31686075949367087</v>
      </c>
      <c r="I5" s="46"/>
    </row>
    <row r="6" spans="1:11" ht="61.5" customHeight="1" x14ac:dyDescent="0.25">
      <c r="A6" s="13" t="s">
        <v>8</v>
      </c>
      <c r="B6" s="34">
        <f>'METAS 2019-2022'!D5</f>
        <v>559</v>
      </c>
      <c r="C6" s="15">
        <f>+'METAS 2019-2022'!G5</f>
        <v>500</v>
      </c>
      <c r="D6" s="15">
        <f>23+28</f>
        <v>51</v>
      </c>
      <c r="E6" s="12">
        <f t="shared" ref="E6:E20" si="0">+D6/C6</f>
        <v>0.10199999999999999</v>
      </c>
      <c r="F6" s="34">
        <f>'METAS 2019-2022'!I5</f>
        <v>2000</v>
      </c>
      <c r="G6" s="29">
        <f>+'DICIEMBRE 2020'!G6+D6</f>
        <v>680</v>
      </c>
      <c r="H6" s="31">
        <f>G6/F6</f>
        <v>0.34</v>
      </c>
    </row>
    <row r="7" spans="1:11" ht="45.75" customHeight="1" x14ac:dyDescent="0.25">
      <c r="A7" s="13" t="s">
        <v>11</v>
      </c>
      <c r="B7" s="33">
        <f>'METAS 2019-2022'!D6</f>
        <v>0.44</v>
      </c>
      <c r="C7" s="16">
        <f>+'METAS 2019-2022'!G6</f>
        <v>1</v>
      </c>
      <c r="D7" s="10">
        <v>1</v>
      </c>
      <c r="E7" s="12">
        <f>+D7/C7</f>
        <v>1</v>
      </c>
      <c r="F7" s="33">
        <f>'METAS 2019-2022'!I6</f>
        <v>1</v>
      </c>
      <c r="G7" s="30">
        <f>+D7</f>
        <v>1</v>
      </c>
      <c r="H7" s="31">
        <f>+G7/F7</f>
        <v>1</v>
      </c>
    </row>
    <row r="8" spans="1:11" ht="57" customHeight="1" x14ac:dyDescent="0.25">
      <c r="A8" s="13" t="s">
        <v>12</v>
      </c>
      <c r="B8" s="34">
        <f>'METAS 2019-2022'!D7</f>
        <v>0</v>
      </c>
      <c r="C8" s="15" t="s">
        <v>42</v>
      </c>
      <c r="D8" s="15" t="s">
        <v>42</v>
      </c>
      <c r="E8" s="12" t="s">
        <v>42</v>
      </c>
      <c r="F8" s="34">
        <f>'METAS 2019-2022'!I7</f>
        <v>10</v>
      </c>
      <c r="G8" s="29">
        <f>+'DICIEMBRE 2020'!G8</f>
        <v>14</v>
      </c>
      <c r="H8" s="31">
        <f>G8/F8</f>
        <v>1.4</v>
      </c>
    </row>
    <row r="9" spans="1:11" ht="38.25" customHeight="1" x14ac:dyDescent="0.25">
      <c r="A9" s="13" t="s">
        <v>14</v>
      </c>
      <c r="B9" s="33">
        <f>'METAS 2019-2022'!D8</f>
        <v>0</v>
      </c>
      <c r="C9" s="16">
        <f>+'METAS 2019-2022'!I8-'DICIEMBRE 2020'!G9</f>
        <v>0.26666666666666661</v>
      </c>
      <c r="D9" s="53">
        <f>(0)/105</f>
        <v>0</v>
      </c>
      <c r="E9" s="12">
        <f>+D9/C9</f>
        <v>0</v>
      </c>
      <c r="F9" s="33">
        <f>'METAS 2019-2022'!I8</f>
        <v>1</v>
      </c>
      <c r="G9" s="31">
        <f>+'DICIEMBRE 2020'!G9+D9</f>
        <v>0.73333333333333339</v>
      </c>
      <c r="H9" s="36">
        <f>+G9/F9</f>
        <v>0.73333333333333339</v>
      </c>
    </row>
    <row r="10" spans="1:11" ht="38.25" customHeight="1" x14ac:dyDescent="0.25">
      <c r="A10" s="13" t="s">
        <v>15</v>
      </c>
      <c r="B10" s="34">
        <f>'METAS 2019-2022'!D9</f>
        <v>0</v>
      </c>
      <c r="C10" s="14">
        <f>+'METAS 2019-2022'!G9-'DICIEMBRE 2020'!G10</f>
        <v>301</v>
      </c>
      <c r="D10" s="15">
        <f>5+15</f>
        <v>20</v>
      </c>
      <c r="E10" s="12">
        <f>+D10/C10</f>
        <v>6.6445182724252497E-2</v>
      </c>
      <c r="F10" s="34">
        <f>'METAS 2019-2022'!I9</f>
        <v>840</v>
      </c>
      <c r="G10" s="29">
        <f>+'DICIEMBRE 2020'!G10+D10</f>
        <v>349</v>
      </c>
      <c r="H10" s="31">
        <f>G10/F10</f>
        <v>0.4154761904761905</v>
      </c>
    </row>
    <row r="11" spans="1:11" ht="33" customHeight="1" x14ac:dyDescent="0.25">
      <c r="A11" s="13" t="s">
        <v>17</v>
      </c>
      <c r="B11" s="34">
        <f>'METAS 2019-2022'!D10</f>
        <v>18</v>
      </c>
      <c r="C11" s="15">
        <f>+'METAS 2019-2022'!G10-'METAS 2019-2022'!F10</f>
        <v>1</v>
      </c>
      <c r="D11" s="14">
        <f>0+1</f>
        <v>1</v>
      </c>
      <c r="E11" s="12">
        <f t="shared" si="0"/>
        <v>1</v>
      </c>
      <c r="F11" s="34">
        <f>'METAS 2019-2022'!I10</f>
        <v>25</v>
      </c>
      <c r="G11" s="28">
        <f>+'DICIEMBRE 2020'!G11+D11</f>
        <v>27</v>
      </c>
      <c r="H11" s="31">
        <f>(G11-B11)/(F11-B11)</f>
        <v>1.2857142857142858</v>
      </c>
    </row>
    <row r="12" spans="1:11" ht="38.25" customHeight="1" x14ac:dyDescent="0.25">
      <c r="A12" s="13" t="s">
        <v>19</v>
      </c>
      <c r="B12" s="34">
        <f>'METAS 2019-2022'!D11</f>
        <v>0</v>
      </c>
      <c r="C12" s="15">
        <f>+'METAS 2019-2022'!G11</f>
        <v>22500</v>
      </c>
      <c r="D12" s="17">
        <f>2011+1960</f>
        <v>3971</v>
      </c>
      <c r="E12" s="12">
        <f t="shared" si="0"/>
        <v>0.17648888888888889</v>
      </c>
      <c r="F12" s="34">
        <f>'METAS 2019-2022'!I11</f>
        <v>90000</v>
      </c>
      <c r="G12" s="32">
        <f>+'DICIEMBRE 2020'!G12+D12</f>
        <v>70729</v>
      </c>
      <c r="H12" s="31">
        <f>G12/F12</f>
        <v>0.78587777777777779</v>
      </c>
    </row>
    <row r="13" spans="1:11" ht="43.5" customHeight="1" x14ac:dyDescent="0.25">
      <c r="A13" s="13" t="s">
        <v>18</v>
      </c>
      <c r="B13" s="34">
        <f>'METAS 2019-2022'!D12</f>
        <v>1164</v>
      </c>
      <c r="C13" s="15">
        <f>+'METAS 2019-2022'!G12-'METAS 2019-2022'!F12</f>
        <v>310</v>
      </c>
      <c r="D13" s="14">
        <f>5+10</f>
        <v>15</v>
      </c>
      <c r="E13" s="12">
        <f t="shared" si="0"/>
        <v>4.8387096774193547E-2</v>
      </c>
      <c r="F13" s="34">
        <f>'METAS 2019-2022'!I12</f>
        <v>2344</v>
      </c>
      <c r="G13" s="32">
        <f>+'DICIEMBRE 2020'!G13+D13</f>
        <v>1928</v>
      </c>
      <c r="H13" s="31">
        <f>(G13-B13)/(F13-B13)</f>
        <v>0.64745762711864407</v>
      </c>
      <c r="I13" s="26"/>
      <c r="K13" s="26"/>
    </row>
    <row r="14" spans="1:11" ht="74.25" customHeight="1" x14ac:dyDescent="0.25">
      <c r="A14" s="13" t="s">
        <v>20</v>
      </c>
      <c r="B14" s="34">
        <f>'METAS 2019-2022'!D13</f>
        <v>1</v>
      </c>
      <c r="C14" s="14">
        <f>+'METAS 2019-2022'!G13-'METAS 2019-2022'!F13</f>
        <v>1</v>
      </c>
      <c r="D14" s="14">
        <v>1</v>
      </c>
      <c r="E14" s="12">
        <f t="shared" si="0"/>
        <v>1</v>
      </c>
      <c r="F14" s="34">
        <f>'METAS 2019-2022'!I13</f>
        <v>5</v>
      </c>
      <c r="G14" s="28">
        <f>+'DICIEMBRE 2020'!G14+D14</f>
        <v>3</v>
      </c>
      <c r="H14" s="31">
        <f>(G14-B14)/(F14-B14)</f>
        <v>0.5</v>
      </c>
    </row>
    <row r="15" spans="1:11" ht="56.25" customHeight="1" x14ac:dyDescent="0.25">
      <c r="A15" s="13" t="s">
        <v>21</v>
      </c>
      <c r="B15" s="34">
        <f>'METAS 2019-2022'!D14</f>
        <v>57</v>
      </c>
      <c r="C15" s="15">
        <f>+'METAS 2019-2022'!G14-'METAS 2019-2022'!F14</f>
        <v>10</v>
      </c>
      <c r="D15" s="14">
        <f>1+1</f>
        <v>2</v>
      </c>
      <c r="E15" s="12">
        <f>+D15/C15</f>
        <v>0.2</v>
      </c>
      <c r="F15" s="34">
        <f>'METAS 2019-2022'!I14</f>
        <v>97</v>
      </c>
      <c r="G15" s="28">
        <f>+'DICIEMBRE 2020'!G15+D15</f>
        <v>96</v>
      </c>
      <c r="H15" s="31">
        <f>(G15-B15)/(F15-B15)</f>
        <v>0.97499999999999998</v>
      </c>
      <c r="I15" s="26"/>
    </row>
    <row r="16" spans="1:11" ht="66" customHeight="1" x14ac:dyDescent="0.25">
      <c r="A16" s="13" t="s">
        <v>22</v>
      </c>
      <c r="B16" s="33">
        <f>'METAS 2019-2022'!D15</f>
        <v>0</v>
      </c>
      <c r="C16" s="16">
        <f>+'METAS 2019-2022'!G15-'METAS 2019-2022'!F15</f>
        <v>0.29999999999999993</v>
      </c>
      <c r="D16" s="16">
        <f>5%+4%</f>
        <v>0.09</v>
      </c>
      <c r="E16" s="12">
        <f t="shared" si="0"/>
        <v>0.30000000000000004</v>
      </c>
      <c r="F16" s="33">
        <f>'METAS 2019-2022'!I15</f>
        <v>1</v>
      </c>
      <c r="G16" s="30">
        <f>+'DICIEMBRE 2020'!G16+D16</f>
        <v>0.54</v>
      </c>
      <c r="H16" s="31">
        <f>G16/F16</f>
        <v>0.54</v>
      </c>
    </row>
    <row r="17" spans="1:10" ht="116.25" customHeight="1" x14ac:dyDescent="0.25">
      <c r="A17" s="13" t="s">
        <v>23</v>
      </c>
      <c r="B17" s="33">
        <f>'METAS 2019-2022'!D16</f>
        <v>0</v>
      </c>
      <c r="C17" s="16">
        <f>+'METAS 2019-2022'!G16-'METAS 2019-2022'!F16</f>
        <v>0.29999999999999993</v>
      </c>
      <c r="D17" s="16">
        <f>3%+3%</f>
        <v>0.06</v>
      </c>
      <c r="E17" s="12">
        <f>+D17/C17</f>
        <v>0.20000000000000004</v>
      </c>
      <c r="F17" s="33">
        <f>'METAS 2019-2022'!I16</f>
        <v>1</v>
      </c>
      <c r="G17" s="30">
        <f>+'DICIEMBRE 2020'!G17+D17</f>
        <v>0.52</v>
      </c>
      <c r="H17" s="31">
        <f>G17/F17</f>
        <v>0.52</v>
      </c>
    </row>
    <row r="18" spans="1:10" ht="69.75" customHeight="1" x14ac:dyDescent="0.25">
      <c r="A18" s="13" t="s">
        <v>24</v>
      </c>
      <c r="B18" s="34">
        <f>'METAS 2019-2022'!D17</f>
        <v>808</v>
      </c>
      <c r="C18" s="15">
        <f>+'METAS 2019-2022'!G17-'METAS 2019-2022'!F17</f>
        <v>60</v>
      </c>
      <c r="D18" s="14">
        <f>8+4</f>
        <v>12</v>
      </c>
      <c r="E18" s="12">
        <f t="shared" si="0"/>
        <v>0.2</v>
      </c>
      <c r="F18" s="34">
        <f>'METAS 2019-2022'!I17</f>
        <v>1008</v>
      </c>
      <c r="G18" s="28">
        <f>+'DICIEMBRE 2020'!G18+D18</f>
        <v>1023</v>
      </c>
      <c r="H18" s="31">
        <f>(G18-B18)/(F18-B18)</f>
        <v>1.075</v>
      </c>
      <c r="I18" s="26"/>
      <c r="J18" s="26"/>
    </row>
    <row r="19" spans="1:10" ht="39.75" customHeight="1" x14ac:dyDescent="0.25">
      <c r="A19" s="13" t="s">
        <v>61</v>
      </c>
      <c r="B19" s="34">
        <f>'METAS 2019-2022'!D18</f>
        <v>0</v>
      </c>
      <c r="C19" s="16" t="str">
        <f>+'METAS 2019-2022'!G18</f>
        <v>N/A</v>
      </c>
      <c r="D19" s="15" t="s">
        <v>42</v>
      </c>
      <c r="E19" s="12" t="s">
        <v>42</v>
      </c>
      <c r="F19" s="34">
        <f>'METAS 2019-2022'!I18</f>
        <v>1</v>
      </c>
      <c r="G19" s="29">
        <v>0</v>
      </c>
      <c r="H19" s="31">
        <f>G19/F19</f>
        <v>0</v>
      </c>
    </row>
    <row r="20" spans="1:10" ht="72" customHeight="1" x14ac:dyDescent="0.25">
      <c r="A20" s="13" t="s">
        <v>60</v>
      </c>
      <c r="B20" s="29">
        <f>'METAS 2019-2022'!D19</f>
        <v>1</v>
      </c>
      <c r="C20" s="15">
        <f>+'METAS 2019-2022'!G19</f>
        <v>1</v>
      </c>
      <c r="D20" s="15">
        <v>0</v>
      </c>
      <c r="E20" s="45">
        <f t="shared" si="0"/>
        <v>0</v>
      </c>
      <c r="F20" s="34">
        <f>'METAS 2019-2022'!I19</f>
        <v>4</v>
      </c>
      <c r="G20" s="29">
        <f>+'DICIEMBRE 2020'!G20+'ENERO 2021'!D20</f>
        <v>2</v>
      </c>
      <c r="H20" s="30">
        <f>+G20/F20</f>
        <v>0.5</v>
      </c>
    </row>
    <row r="21" spans="1:10" ht="73.5" customHeight="1" x14ac:dyDescent="0.25">
      <c r="A21" s="13" t="s">
        <v>48</v>
      </c>
      <c r="B21" s="33">
        <f>'METAS 2019-2022'!D20</f>
        <v>0</v>
      </c>
      <c r="C21" s="16" t="str">
        <f>+'METAS 2019-2022'!G20</f>
        <v>N/A</v>
      </c>
      <c r="D21" s="15" t="s">
        <v>42</v>
      </c>
      <c r="E21" s="12" t="s">
        <v>42</v>
      </c>
      <c r="F21" s="33">
        <f>'METAS 2019-2022'!I20</f>
        <v>1</v>
      </c>
      <c r="G21" s="33">
        <v>0</v>
      </c>
      <c r="H21" s="31">
        <f>G21/F21</f>
        <v>0</v>
      </c>
    </row>
    <row r="22" spans="1:10" ht="63" customHeight="1" x14ac:dyDescent="0.25">
      <c r="A22" s="13" t="s">
        <v>64</v>
      </c>
      <c r="B22" s="33">
        <f>'METAS 2019-2022'!D21</f>
        <v>0</v>
      </c>
      <c r="C22" s="16" t="str">
        <f>+'METAS 2019-2022'!G21</f>
        <v>N/A</v>
      </c>
      <c r="D22" s="27" t="s">
        <v>42</v>
      </c>
      <c r="E22" s="45" t="s">
        <v>42</v>
      </c>
      <c r="F22" s="33">
        <f>'METAS 2019-2022'!I21</f>
        <v>1</v>
      </c>
      <c r="G22" s="30">
        <f>+'DICIEMBRE 2020'!G22</f>
        <v>1</v>
      </c>
      <c r="H22" s="30">
        <f>+G22/F22</f>
        <v>1</v>
      </c>
    </row>
    <row r="23" spans="1:10" ht="57" x14ac:dyDescent="0.25">
      <c r="A23" s="13" t="s">
        <v>71</v>
      </c>
      <c r="B23" s="33">
        <v>0</v>
      </c>
      <c r="C23" s="16">
        <f>+'METAS 2019-2022'!G22</f>
        <v>1</v>
      </c>
      <c r="D23" s="16">
        <v>0</v>
      </c>
      <c r="E23" s="10">
        <f>+D23/C23</f>
        <v>0</v>
      </c>
      <c r="F23" s="33">
        <f>+'METAS 2019-2022'!I22</f>
        <v>1</v>
      </c>
      <c r="G23" s="33">
        <f>+D23</f>
        <v>0</v>
      </c>
      <c r="H23" s="33">
        <f>+G23/F23</f>
        <v>0</v>
      </c>
    </row>
    <row r="24" spans="1:10" x14ac:dyDescent="0.25">
      <c r="A24" s="1" t="s">
        <v>47</v>
      </c>
    </row>
    <row r="25" spans="1:10" x14ac:dyDescent="0.25">
      <c r="A25" s="1" t="s">
        <v>59</v>
      </c>
    </row>
  </sheetData>
  <mergeCells count="5">
    <mergeCell ref="A1:H1"/>
    <mergeCell ref="A3:A4"/>
    <mergeCell ref="B3:B4"/>
    <mergeCell ref="C3:E3"/>
    <mergeCell ref="F3:H3"/>
  </mergeCells>
  <pageMargins left="0.7" right="0.7" top="0.75" bottom="0.75" header="0.3" footer="0.3"/>
  <ignoredErrors>
    <ignoredError sqref="H18 H20:H21 H7:H8 H9 H11:H1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D452E-F867-4CC5-876A-0F22DE73781E}">
  <dimension ref="A1:K25"/>
  <sheetViews>
    <sheetView zoomScale="70" zoomScaleNormal="70" workbookViewId="0">
      <selection sqref="A1:H1"/>
    </sheetView>
  </sheetViews>
  <sheetFormatPr baseColWidth="10" defaultRowHeight="14.25" x14ac:dyDescent="0.25"/>
  <cols>
    <col min="1" max="1" width="77.5703125" style="1" customWidth="1"/>
    <col min="2" max="2" width="25.140625" style="1" customWidth="1"/>
    <col min="3" max="6" width="25.140625" style="3" customWidth="1"/>
    <col min="7" max="8" width="25.140625" style="1" customWidth="1"/>
    <col min="9" max="16384" width="11.42578125" style="1"/>
  </cols>
  <sheetData>
    <row r="1" spans="1:11" ht="83.25" customHeight="1" x14ac:dyDescent="0.25">
      <c r="A1" s="74" t="s">
        <v>76</v>
      </c>
      <c r="B1" s="74"/>
      <c r="C1" s="74"/>
      <c r="D1" s="74"/>
      <c r="E1" s="74"/>
      <c r="F1" s="74"/>
      <c r="G1" s="74"/>
      <c r="H1" s="74"/>
    </row>
    <row r="2" spans="1:11" ht="21" customHeight="1" x14ac:dyDescent="0.25">
      <c r="A2" s="57"/>
      <c r="B2" s="57"/>
      <c r="C2" s="57"/>
      <c r="D2" s="57"/>
      <c r="E2" s="57"/>
      <c r="F2" s="57"/>
      <c r="G2" s="57"/>
      <c r="H2" s="57"/>
    </row>
    <row r="3" spans="1:11" ht="26.25" customHeight="1" x14ac:dyDescent="0.25">
      <c r="A3" s="72" t="s">
        <v>0</v>
      </c>
      <c r="B3" s="73" t="s">
        <v>3</v>
      </c>
      <c r="C3" s="70">
        <v>2021</v>
      </c>
      <c r="D3" s="70"/>
      <c r="E3" s="70"/>
      <c r="F3" s="71" t="s">
        <v>49</v>
      </c>
      <c r="G3" s="71"/>
      <c r="H3" s="71"/>
    </row>
    <row r="4" spans="1:11" ht="61.5" customHeight="1" x14ac:dyDescent="0.25">
      <c r="A4" s="72"/>
      <c r="B4" s="73"/>
      <c r="C4" s="58" t="s">
        <v>58</v>
      </c>
      <c r="D4" s="58" t="s">
        <v>77</v>
      </c>
      <c r="E4" s="58" t="s">
        <v>52</v>
      </c>
      <c r="F4" s="59" t="s">
        <v>50</v>
      </c>
      <c r="G4" s="59" t="s">
        <v>78</v>
      </c>
      <c r="H4" s="59" t="s">
        <v>52</v>
      </c>
    </row>
    <row r="5" spans="1:11" ht="55.5" customHeight="1" x14ac:dyDescent="0.25">
      <c r="A5" s="13" t="s">
        <v>5</v>
      </c>
      <c r="B5" s="34">
        <f>'METAS 2019-2022'!D4</f>
        <v>790000</v>
      </c>
      <c r="C5" s="14">
        <f>+'METAS 2019-2022'!G4-'DICIEMBRE 2020'!G5</f>
        <v>143251</v>
      </c>
      <c r="D5" s="14">
        <f>4258+5553+7680</f>
        <v>17491</v>
      </c>
      <c r="E5" s="12">
        <f>+D5/C5</f>
        <v>0.12210036928188983</v>
      </c>
      <c r="F5" s="34">
        <f>'METAS 2019-2022'!I4</f>
        <v>1185000</v>
      </c>
      <c r="G5" s="28">
        <f>'DICIEMBRE 2020'!G5+D5</f>
        <v>922840</v>
      </c>
      <c r="H5" s="36">
        <f>(G5-B5)/(F5-B5)</f>
        <v>0.33630379746835443</v>
      </c>
      <c r="I5" s="46"/>
      <c r="J5" s="26"/>
    </row>
    <row r="6" spans="1:11" ht="61.5" customHeight="1" x14ac:dyDescent="0.25">
      <c r="A6" s="13" t="s">
        <v>8</v>
      </c>
      <c r="B6" s="34">
        <f>'METAS 2019-2022'!D5</f>
        <v>559</v>
      </c>
      <c r="C6" s="15">
        <f>+'METAS 2019-2022'!G5</f>
        <v>500</v>
      </c>
      <c r="D6" s="15">
        <f>23+28+36</f>
        <v>87</v>
      </c>
      <c r="E6" s="12">
        <f t="shared" ref="E6:E20" si="0">+D6/C6</f>
        <v>0.17399999999999999</v>
      </c>
      <c r="F6" s="34">
        <f>'METAS 2019-2022'!I5</f>
        <v>2000</v>
      </c>
      <c r="G6" s="29">
        <f>+'DICIEMBRE 2020'!G6+D6</f>
        <v>716</v>
      </c>
      <c r="H6" s="31">
        <f>G6/F6</f>
        <v>0.35799999999999998</v>
      </c>
      <c r="I6" s="26"/>
    </row>
    <row r="7" spans="1:11" ht="45.75" customHeight="1" x14ac:dyDescent="0.25">
      <c r="A7" s="13" t="s">
        <v>11</v>
      </c>
      <c r="B7" s="33">
        <f>'METAS 2019-2022'!D6</f>
        <v>0.44</v>
      </c>
      <c r="C7" s="16">
        <f>+'METAS 2019-2022'!G6</f>
        <v>1</v>
      </c>
      <c r="D7" s="10">
        <v>1</v>
      </c>
      <c r="E7" s="12">
        <f>+D7/C7</f>
        <v>1</v>
      </c>
      <c r="F7" s="33">
        <f>'METAS 2019-2022'!I6</f>
        <v>1</v>
      </c>
      <c r="G7" s="30">
        <f>+D7</f>
        <v>1</v>
      </c>
      <c r="H7" s="31">
        <f>+G7/F7</f>
        <v>1</v>
      </c>
    </row>
    <row r="8" spans="1:11" ht="57" customHeight="1" x14ac:dyDescent="0.25">
      <c r="A8" s="13" t="s">
        <v>12</v>
      </c>
      <c r="B8" s="34">
        <f>'METAS 2019-2022'!D7</f>
        <v>0</v>
      </c>
      <c r="C8" s="15" t="s">
        <v>42</v>
      </c>
      <c r="D8" s="15" t="s">
        <v>42</v>
      </c>
      <c r="E8" s="12" t="s">
        <v>42</v>
      </c>
      <c r="F8" s="34">
        <f>'METAS 2019-2022'!I7</f>
        <v>10</v>
      </c>
      <c r="G8" s="29">
        <f>+'DICIEMBRE 2020'!G8</f>
        <v>14</v>
      </c>
      <c r="H8" s="31">
        <f>G8/F8</f>
        <v>1.4</v>
      </c>
    </row>
    <row r="9" spans="1:11" ht="38.25" customHeight="1" x14ac:dyDescent="0.25">
      <c r="A9" s="13" t="s">
        <v>14</v>
      </c>
      <c r="B9" s="33">
        <f>'METAS 2019-2022'!D8</f>
        <v>0</v>
      </c>
      <c r="C9" s="16">
        <f>+'METAS 2019-2022'!I8-'DICIEMBRE 2020'!G9</f>
        <v>0.26666666666666661</v>
      </c>
      <c r="D9" s="53">
        <f>(0+0+2)/105</f>
        <v>1.9047619047619049E-2</v>
      </c>
      <c r="E9" s="12">
        <f>+D9/C9</f>
        <v>7.1428571428571452E-2</v>
      </c>
      <c r="F9" s="33">
        <f>'METAS 2019-2022'!I8</f>
        <v>1</v>
      </c>
      <c r="G9" s="31">
        <f>+'DICIEMBRE 2020'!G9+D9</f>
        <v>0.75238095238095248</v>
      </c>
      <c r="H9" s="36">
        <f>+G9/F9</f>
        <v>0.75238095238095248</v>
      </c>
    </row>
    <row r="10" spans="1:11" ht="38.25" customHeight="1" x14ac:dyDescent="0.25">
      <c r="A10" s="13" t="s">
        <v>15</v>
      </c>
      <c r="B10" s="34">
        <f>'METAS 2019-2022'!D9</f>
        <v>0</v>
      </c>
      <c r="C10" s="14">
        <f>+'METAS 2019-2022'!G9-'DICIEMBRE 2020'!G10</f>
        <v>301</v>
      </c>
      <c r="D10" s="15">
        <f>5+15+28</f>
        <v>48</v>
      </c>
      <c r="E10" s="12">
        <f>+D10/C10</f>
        <v>0.15946843853820597</v>
      </c>
      <c r="F10" s="34">
        <f>'METAS 2019-2022'!I9</f>
        <v>840</v>
      </c>
      <c r="G10" s="29">
        <f>+'DICIEMBRE 2020'!G10+D10</f>
        <v>377</v>
      </c>
      <c r="H10" s="31">
        <f>G10/F10</f>
        <v>0.44880952380952382</v>
      </c>
    </row>
    <row r="11" spans="1:11" ht="33" customHeight="1" x14ac:dyDescent="0.25">
      <c r="A11" s="13" t="s">
        <v>17</v>
      </c>
      <c r="B11" s="34">
        <f>'METAS 2019-2022'!D10</f>
        <v>18</v>
      </c>
      <c r="C11" s="15">
        <f>+'METAS 2019-2022'!G10-'METAS 2019-2022'!F10</f>
        <v>1</v>
      </c>
      <c r="D11" s="14">
        <f>0+1+1</f>
        <v>2</v>
      </c>
      <c r="E11" s="12">
        <f t="shared" si="0"/>
        <v>2</v>
      </c>
      <c r="F11" s="34">
        <f>'METAS 2019-2022'!I10</f>
        <v>25</v>
      </c>
      <c r="G11" s="28">
        <f>+'DICIEMBRE 2020'!G11+D11</f>
        <v>28</v>
      </c>
      <c r="H11" s="31">
        <f>(G11-B11)/(F11-B11)</f>
        <v>1.4285714285714286</v>
      </c>
    </row>
    <row r="12" spans="1:11" ht="38.25" customHeight="1" x14ac:dyDescent="0.25">
      <c r="A12" s="13" t="s">
        <v>19</v>
      </c>
      <c r="B12" s="34">
        <f>'METAS 2019-2022'!D11</f>
        <v>0</v>
      </c>
      <c r="C12" s="15">
        <f>+'METAS 2019-2022'!G11</f>
        <v>22500</v>
      </c>
      <c r="D12" s="17">
        <f>2011+1960+1905</f>
        <v>5876</v>
      </c>
      <c r="E12" s="12">
        <f t="shared" si="0"/>
        <v>0.26115555555555553</v>
      </c>
      <c r="F12" s="34">
        <f>'METAS 2019-2022'!I11</f>
        <v>90000</v>
      </c>
      <c r="G12" s="32">
        <f>+'DICIEMBRE 2020'!G12+D12</f>
        <v>72634</v>
      </c>
      <c r="H12" s="31">
        <f>G12/F12</f>
        <v>0.80704444444444445</v>
      </c>
    </row>
    <row r="13" spans="1:11" ht="43.5" customHeight="1" x14ac:dyDescent="0.25">
      <c r="A13" s="13" t="s">
        <v>18</v>
      </c>
      <c r="B13" s="34">
        <f>'METAS 2019-2022'!D12</f>
        <v>1164</v>
      </c>
      <c r="C13" s="15">
        <f>+'METAS 2019-2022'!G12-'METAS 2019-2022'!F12</f>
        <v>310</v>
      </c>
      <c r="D13" s="14">
        <f>5+10+13</f>
        <v>28</v>
      </c>
      <c r="E13" s="12">
        <f t="shared" si="0"/>
        <v>9.0322580645161285E-2</v>
      </c>
      <c r="F13" s="34">
        <f>'METAS 2019-2022'!I12</f>
        <v>2344</v>
      </c>
      <c r="G13" s="32">
        <f>+'DICIEMBRE 2020'!G13+D13</f>
        <v>1941</v>
      </c>
      <c r="H13" s="31">
        <f>(G13-B13)/(F13-B13)</f>
        <v>0.65847457627118644</v>
      </c>
      <c r="I13" s="26"/>
      <c r="K13" s="26"/>
    </row>
    <row r="14" spans="1:11" ht="74.25" customHeight="1" x14ac:dyDescent="0.25">
      <c r="A14" s="13" t="s">
        <v>20</v>
      </c>
      <c r="B14" s="34">
        <f>'METAS 2019-2022'!D13</f>
        <v>1</v>
      </c>
      <c r="C14" s="14">
        <f>+'METAS 2019-2022'!G13-'METAS 2019-2022'!F13</f>
        <v>1</v>
      </c>
      <c r="D14" s="14">
        <v>1</v>
      </c>
      <c r="E14" s="12">
        <f t="shared" si="0"/>
        <v>1</v>
      </c>
      <c r="F14" s="34">
        <f>'METAS 2019-2022'!I13</f>
        <v>5</v>
      </c>
      <c r="G14" s="28">
        <f>+'DICIEMBRE 2020'!G14+D14</f>
        <v>3</v>
      </c>
      <c r="H14" s="31">
        <f>(G14-B14)/(F14-B14)</f>
        <v>0.5</v>
      </c>
    </row>
    <row r="15" spans="1:11" ht="56.25" customHeight="1" x14ac:dyDescent="0.25">
      <c r="A15" s="13" t="s">
        <v>21</v>
      </c>
      <c r="B15" s="34">
        <f>'METAS 2019-2022'!D14</f>
        <v>57</v>
      </c>
      <c r="C15" s="15">
        <f>+'METAS 2019-2022'!G14-'METAS 2019-2022'!F14</f>
        <v>10</v>
      </c>
      <c r="D15" s="14">
        <f>1+1+0</f>
        <v>2</v>
      </c>
      <c r="E15" s="12">
        <f>+D15/C15</f>
        <v>0.2</v>
      </c>
      <c r="F15" s="34">
        <f>'METAS 2019-2022'!I14</f>
        <v>97</v>
      </c>
      <c r="G15" s="28">
        <f>+'DICIEMBRE 2020'!G15+D15</f>
        <v>96</v>
      </c>
      <c r="H15" s="31">
        <f>(G15-B15)/(F15-B15)</f>
        <v>0.97499999999999998</v>
      </c>
      <c r="I15" s="26"/>
    </row>
    <row r="16" spans="1:11" ht="66" customHeight="1" x14ac:dyDescent="0.25">
      <c r="A16" s="13" t="s">
        <v>22</v>
      </c>
      <c r="B16" s="33">
        <f>'METAS 2019-2022'!D15</f>
        <v>0</v>
      </c>
      <c r="C16" s="16">
        <f>+'METAS 2019-2022'!G15-'METAS 2019-2022'!F15</f>
        <v>0.29999999999999993</v>
      </c>
      <c r="D16" s="16">
        <f>5%+4%+2%</f>
        <v>0.11</v>
      </c>
      <c r="E16" s="12">
        <f t="shared" si="0"/>
        <v>0.36666666666666675</v>
      </c>
      <c r="F16" s="33">
        <f>'METAS 2019-2022'!I15</f>
        <v>1</v>
      </c>
      <c r="G16" s="30">
        <f>+'DICIEMBRE 2020'!G16+D16</f>
        <v>0.56000000000000005</v>
      </c>
      <c r="H16" s="31">
        <f>G16/F16</f>
        <v>0.56000000000000005</v>
      </c>
    </row>
    <row r="17" spans="1:10" ht="116.25" customHeight="1" x14ac:dyDescent="0.25">
      <c r="A17" s="13" t="s">
        <v>23</v>
      </c>
      <c r="B17" s="33">
        <f>'METAS 2019-2022'!D16</f>
        <v>0</v>
      </c>
      <c r="C17" s="16">
        <f>+'METAS 2019-2022'!G16-'METAS 2019-2022'!F16</f>
        <v>0.29999999999999993</v>
      </c>
      <c r="D17" s="16">
        <f>3%+3%+7%</f>
        <v>0.13</v>
      </c>
      <c r="E17" s="12">
        <f>+D17/C17</f>
        <v>0.43333333333333346</v>
      </c>
      <c r="F17" s="33">
        <f>'METAS 2019-2022'!I16</f>
        <v>1</v>
      </c>
      <c r="G17" s="30">
        <f>+'DICIEMBRE 2020'!G17+D17</f>
        <v>0.59000000000000008</v>
      </c>
      <c r="H17" s="31">
        <f>G17/F17</f>
        <v>0.59000000000000008</v>
      </c>
    </row>
    <row r="18" spans="1:10" ht="69.75" customHeight="1" x14ac:dyDescent="0.25">
      <c r="A18" s="13" t="s">
        <v>24</v>
      </c>
      <c r="B18" s="34">
        <f>'METAS 2019-2022'!D17</f>
        <v>808</v>
      </c>
      <c r="C18" s="15">
        <f>+'METAS 2019-2022'!G17-'METAS 2019-2022'!F17</f>
        <v>60</v>
      </c>
      <c r="D18" s="14">
        <f>8+4+5</f>
        <v>17</v>
      </c>
      <c r="E18" s="12">
        <f t="shared" si="0"/>
        <v>0.28333333333333333</v>
      </c>
      <c r="F18" s="34">
        <f>'METAS 2019-2022'!I17</f>
        <v>1008</v>
      </c>
      <c r="G18" s="28">
        <f>+'DICIEMBRE 2020'!G18+D18</f>
        <v>1028</v>
      </c>
      <c r="H18" s="31">
        <f>(G18-B18)/(F18-B18)</f>
        <v>1.1000000000000001</v>
      </c>
      <c r="I18" s="26"/>
      <c r="J18" s="26"/>
    </row>
    <row r="19" spans="1:10" ht="39.75" customHeight="1" x14ac:dyDescent="0.25">
      <c r="A19" s="13" t="s">
        <v>61</v>
      </c>
      <c r="B19" s="34">
        <f>'METAS 2019-2022'!D18</f>
        <v>0</v>
      </c>
      <c r="C19" s="16" t="str">
        <f>+'METAS 2019-2022'!G18</f>
        <v>N/A</v>
      </c>
      <c r="D19" s="15" t="s">
        <v>42</v>
      </c>
      <c r="E19" s="12" t="s">
        <v>42</v>
      </c>
      <c r="F19" s="34">
        <f>'METAS 2019-2022'!I18</f>
        <v>1</v>
      </c>
      <c r="G19" s="29">
        <v>0</v>
      </c>
      <c r="H19" s="31">
        <f>G19/F19</f>
        <v>0</v>
      </c>
    </row>
    <row r="20" spans="1:10" ht="72" customHeight="1" x14ac:dyDescent="0.25">
      <c r="A20" s="13" t="s">
        <v>60</v>
      </c>
      <c r="B20" s="29">
        <f>'METAS 2019-2022'!D19</f>
        <v>1</v>
      </c>
      <c r="C20" s="15">
        <f>+'METAS 2019-2022'!G19</f>
        <v>1</v>
      </c>
      <c r="D20" s="15">
        <v>0</v>
      </c>
      <c r="E20" s="45">
        <f t="shared" si="0"/>
        <v>0</v>
      </c>
      <c r="F20" s="34">
        <f>'METAS 2019-2022'!I19</f>
        <v>4</v>
      </c>
      <c r="G20" s="29">
        <f>+'DICIEMBRE 2020'!G20+'ENERO 2021'!D20</f>
        <v>2</v>
      </c>
      <c r="H20" s="30">
        <f>+G20/F20</f>
        <v>0.5</v>
      </c>
    </row>
    <row r="21" spans="1:10" ht="73.5" customHeight="1" x14ac:dyDescent="0.25">
      <c r="A21" s="13" t="s">
        <v>48</v>
      </c>
      <c r="B21" s="33">
        <f>'METAS 2019-2022'!D20</f>
        <v>0</v>
      </c>
      <c r="C21" s="16" t="str">
        <f>+'METAS 2019-2022'!G20</f>
        <v>N/A</v>
      </c>
      <c r="D21" s="15" t="s">
        <v>42</v>
      </c>
      <c r="E21" s="12" t="s">
        <v>42</v>
      </c>
      <c r="F21" s="33">
        <f>'METAS 2019-2022'!I20</f>
        <v>1</v>
      </c>
      <c r="G21" s="33">
        <v>0</v>
      </c>
      <c r="H21" s="31">
        <f>G21/F21</f>
        <v>0</v>
      </c>
    </row>
    <row r="22" spans="1:10" ht="63" customHeight="1" x14ac:dyDescent="0.25">
      <c r="A22" s="13" t="s">
        <v>64</v>
      </c>
      <c r="B22" s="33">
        <f>'METAS 2019-2022'!D21</f>
        <v>0</v>
      </c>
      <c r="C22" s="16" t="str">
        <f>+'METAS 2019-2022'!G21</f>
        <v>N/A</v>
      </c>
      <c r="D22" s="27" t="s">
        <v>42</v>
      </c>
      <c r="E22" s="45" t="s">
        <v>42</v>
      </c>
      <c r="F22" s="33">
        <f>'METAS 2019-2022'!I21</f>
        <v>1</v>
      </c>
      <c r="G22" s="30">
        <f>+'DICIEMBRE 2020'!G22</f>
        <v>1</v>
      </c>
      <c r="H22" s="30">
        <f>+G22/F22</f>
        <v>1</v>
      </c>
    </row>
    <row r="23" spans="1:10" ht="57" x14ac:dyDescent="0.25">
      <c r="A23" s="13" t="s">
        <v>71</v>
      </c>
      <c r="B23" s="33">
        <v>0</v>
      </c>
      <c r="C23" s="16">
        <f>+'METAS 2019-2022'!G22</f>
        <v>1</v>
      </c>
      <c r="D23" s="16">
        <v>0</v>
      </c>
      <c r="E23" s="10">
        <f>+D23/C23</f>
        <v>0</v>
      </c>
      <c r="F23" s="33">
        <f>+'METAS 2019-2022'!I22</f>
        <v>1</v>
      </c>
      <c r="G23" s="33">
        <f>+D23</f>
        <v>0</v>
      </c>
      <c r="H23" s="33">
        <f>+G23/F23</f>
        <v>0</v>
      </c>
    </row>
    <row r="24" spans="1:10" x14ac:dyDescent="0.25">
      <c r="A24" s="1" t="s">
        <v>47</v>
      </c>
    </row>
    <row r="25" spans="1:10" x14ac:dyDescent="0.25">
      <c r="A25" s="1" t="s">
        <v>59</v>
      </c>
    </row>
  </sheetData>
  <mergeCells count="5">
    <mergeCell ref="A1:H1"/>
    <mergeCell ref="A3:A4"/>
    <mergeCell ref="B3:B4"/>
    <mergeCell ref="C3:E3"/>
    <mergeCell ref="F3:H3"/>
  </mergeCells>
  <pageMargins left="0.7" right="0.7" top="0.75" bottom="0.75" header="0.3" footer="0.3"/>
  <ignoredErrors>
    <ignoredError sqref="H7:H9 H11:H12 H18 H2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D70DB-DE7D-4896-AE57-64C45DD83F5C}">
  <dimension ref="A1:K25"/>
  <sheetViews>
    <sheetView zoomScale="70" zoomScaleNormal="70" workbookViewId="0">
      <selection sqref="A1:XFD1048576"/>
    </sheetView>
  </sheetViews>
  <sheetFormatPr baseColWidth="10" defaultRowHeight="14.25" x14ac:dyDescent="0.25"/>
  <cols>
    <col min="1" max="1" width="77.5703125" style="1" customWidth="1"/>
    <col min="2" max="2" width="25.140625" style="1" customWidth="1"/>
    <col min="3" max="6" width="25.140625" style="3" customWidth="1"/>
    <col min="7" max="8" width="25.140625" style="1" customWidth="1"/>
    <col min="9" max="16384" width="11.42578125" style="1"/>
  </cols>
  <sheetData>
    <row r="1" spans="1:11" ht="83.25" customHeight="1" x14ac:dyDescent="0.25">
      <c r="A1" s="74" t="s">
        <v>79</v>
      </c>
      <c r="B1" s="74"/>
      <c r="C1" s="74"/>
      <c r="D1" s="74"/>
      <c r="E1" s="74"/>
      <c r="F1" s="74"/>
      <c r="G1" s="74"/>
      <c r="H1" s="74"/>
    </row>
    <row r="2" spans="1:11" ht="21" customHeight="1" x14ac:dyDescent="0.25">
      <c r="A2" s="60"/>
      <c r="B2" s="60"/>
      <c r="C2" s="60"/>
      <c r="D2" s="60"/>
      <c r="E2" s="60"/>
      <c r="F2" s="60"/>
      <c r="G2" s="60"/>
      <c r="H2" s="60"/>
    </row>
    <row r="3" spans="1:11" ht="26.25" customHeight="1" x14ac:dyDescent="0.25">
      <c r="A3" s="72" t="s">
        <v>0</v>
      </c>
      <c r="B3" s="73" t="s">
        <v>3</v>
      </c>
      <c r="C3" s="70">
        <v>2021</v>
      </c>
      <c r="D3" s="70"/>
      <c r="E3" s="70"/>
      <c r="F3" s="71" t="s">
        <v>49</v>
      </c>
      <c r="G3" s="71"/>
      <c r="H3" s="71"/>
    </row>
    <row r="4" spans="1:11" ht="61.5" customHeight="1" x14ac:dyDescent="0.25">
      <c r="A4" s="72"/>
      <c r="B4" s="73"/>
      <c r="C4" s="61" t="s">
        <v>58</v>
      </c>
      <c r="D4" s="61" t="s">
        <v>80</v>
      </c>
      <c r="E4" s="61" t="s">
        <v>52</v>
      </c>
      <c r="F4" s="62" t="s">
        <v>50</v>
      </c>
      <c r="G4" s="62" t="s">
        <v>81</v>
      </c>
      <c r="H4" s="62" t="s">
        <v>52</v>
      </c>
    </row>
    <row r="5" spans="1:11" ht="55.5" customHeight="1" x14ac:dyDescent="0.25">
      <c r="A5" s="13" t="s">
        <v>5</v>
      </c>
      <c r="B5" s="34">
        <f>'METAS 2019-2022'!D4</f>
        <v>790000</v>
      </c>
      <c r="C5" s="14">
        <f>+'METAS 2019-2022'!G4-'DICIEMBRE 2020'!G5</f>
        <v>143251</v>
      </c>
      <c r="D5" s="14">
        <f>4258+5553+7680+6909</f>
        <v>24400</v>
      </c>
      <c r="E5" s="12">
        <f>+D5/C5</f>
        <v>0.17033039908970968</v>
      </c>
      <c r="F5" s="34">
        <f>'METAS 2019-2022'!I4</f>
        <v>1185000</v>
      </c>
      <c r="G5" s="28">
        <f>'DICIEMBRE 2020'!G5+D5</f>
        <v>929749</v>
      </c>
      <c r="H5" s="36">
        <f>(G5-B5)/(F5-B5)</f>
        <v>0.35379493670886075</v>
      </c>
      <c r="I5" s="46"/>
      <c r="J5" s="26"/>
    </row>
    <row r="6" spans="1:11" ht="61.5" customHeight="1" x14ac:dyDescent="0.25">
      <c r="A6" s="13" t="s">
        <v>8</v>
      </c>
      <c r="B6" s="34">
        <f>'METAS 2019-2022'!D5</f>
        <v>559</v>
      </c>
      <c r="C6" s="15">
        <f>+'METAS 2019-2022'!G5</f>
        <v>500</v>
      </c>
      <c r="D6" s="15">
        <f>23+28+36+43</f>
        <v>130</v>
      </c>
      <c r="E6" s="12">
        <f t="shared" ref="E6:E20" si="0">+D6/C6</f>
        <v>0.26</v>
      </c>
      <c r="F6" s="34">
        <f>'METAS 2019-2022'!I5</f>
        <v>2000</v>
      </c>
      <c r="G6" s="29">
        <f>+'DICIEMBRE 2020'!G6+D6</f>
        <v>759</v>
      </c>
      <c r="H6" s="31">
        <f>G6/F6</f>
        <v>0.3795</v>
      </c>
      <c r="I6" s="26"/>
    </row>
    <row r="7" spans="1:11" ht="45.75" customHeight="1" x14ac:dyDescent="0.25">
      <c r="A7" s="13" t="s">
        <v>11</v>
      </c>
      <c r="B7" s="33">
        <f>'METAS 2019-2022'!D6</f>
        <v>0.44</v>
      </c>
      <c r="C7" s="16">
        <f>+'METAS 2019-2022'!G6</f>
        <v>1</v>
      </c>
      <c r="D7" s="10">
        <v>1</v>
      </c>
      <c r="E7" s="12">
        <f>+D7/C7</f>
        <v>1</v>
      </c>
      <c r="F7" s="33">
        <f>'METAS 2019-2022'!I6</f>
        <v>1</v>
      </c>
      <c r="G7" s="30">
        <f>+D7</f>
        <v>1</v>
      </c>
      <c r="H7" s="31">
        <f>+G7/F7</f>
        <v>1</v>
      </c>
    </row>
    <row r="8" spans="1:11" ht="57" customHeight="1" x14ac:dyDescent="0.25">
      <c r="A8" s="13" t="s">
        <v>12</v>
      </c>
      <c r="B8" s="34">
        <f>'METAS 2019-2022'!D7</f>
        <v>0</v>
      </c>
      <c r="C8" s="15" t="s">
        <v>42</v>
      </c>
      <c r="D8" s="15" t="s">
        <v>42</v>
      </c>
      <c r="E8" s="12" t="s">
        <v>42</v>
      </c>
      <c r="F8" s="34">
        <f>'METAS 2019-2022'!I7</f>
        <v>10</v>
      </c>
      <c r="G8" s="29">
        <f>+'DICIEMBRE 2020'!G8</f>
        <v>14</v>
      </c>
      <c r="H8" s="31">
        <f>G8/F8</f>
        <v>1.4</v>
      </c>
    </row>
    <row r="9" spans="1:11" ht="38.25" customHeight="1" x14ac:dyDescent="0.25">
      <c r="A9" s="13" t="s">
        <v>14</v>
      </c>
      <c r="B9" s="33">
        <f>'METAS 2019-2022'!D8</f>
        <v>0</v>
      </c>
      <c r="C9" s="16">
        <f>+'METAS 2019-2022'!I8-'DICIEMBRE 2020'!G9</f>
        <v>0.26666666666666661</v>
      </c>
      <c r="D9" s="53">
        <f>(0+0+2+2)/105</f>
        <v>3.8095238095238099E-2</v>
      </c>
      <c r="E9" s="12">
        <f>+D9/C9</f>
        <v>0.1428571428571429</v>
      </c>
      <c r="F9" s="33">
        <f>'METAS 2019-2022'!I8</f>
        <v>1</v>
      </c>
      <c r="G9" s="31">
        <f>+'DICIEMBRE 2020'!G9+D9</f>
        <v>0.77142857142857146</v>
      </c>
      <c r="H9" s="36">
        <f>+G9/F9</f>
        <v>0.77142857142857146</v>
      </c>
    </row>
    <row r="10" spans="1:11" ht="38.25" customHeight="1" x14ac:dyDescent="0.25">
      <c r="A10" s="13" t="s">
        <v>15</v>
      </c>
      <c r="B10" s="34">
        <f>'METAS 2019-2022'!D9</f>
        <v>0</v>
      </c>
      <c r="C10" s="14">
        <f>+'METAS 2019-2022'!G9-'DICIEMBRE 2020'!G10</f>
        <v>301</v>
      </c>
      <c r="D10" s="15">
        <f>5+15+28+40</f>
        <v>88</v>
      </c>
      <c r="E10" s="12">
        <f>+D10/C10</f>
        <v>0.29235880398671099</v>
      </c>
      <c r="F10" s="34">
        <f>'METAS 2019-2022'!I9</f>
        <v>840</v>
      </c>
      <c r="G10" s="29">
        <f>+'DICIEMBRE 2020'!G10+D10</f>
        <v>417</v>
      </c>
      <c r="H10" s="31">
        <f>G10/F10</f>
        <v>0.49642857142857144</v>
      </c>
    </row>
    <row r="11" spans="1:11" ht="33" customHeight="1" x14ac:dyDescent="0.25">
      <c r="A11" s="13" t="s">
        <v>17</v>
      </c>
      <c r="B11" s="34">
        <f>'METAS 2019-2022'!D10</f>
        <v>18</v>
      </c>
      <c r="C11" s="15">
        <f>+'METAS 2019-2022'!G10-'METAS 2019-2022'!F10</f>
        <v>1</v>
      </c>
      <c r="D11" s="14">
        <f>0+1+1</f>
        <v>2</v>
      </c>
      <c r="E11" s="12">
        <f t="shared" si="0"/>
        <v>2</v>
      </c>
      <c r="F11" s="34">
        <f>'METAS 2019-2022'!I10</f>
        <v>25</v>
      </c>
      <c r="G11" s="28">
        <f>+'DICIEMBRE 2020'!G11+D11</f>
        <v>28</v>
      </c>
      <c r="H11" s="31">
        <f>(G11-B11)/(F11-B11)</f>
        <v>1.4285714285714286</v>
      </c>
    </row>
    <row r="12" spans="1:11" ht="38.25" customHeight="1" x14ac:dyDescent="0.25">
      <c r="A12" s="13" t="s">
        <v>19</v>
      </c>
      <c r="B12" s="34">
        <f>'METAS 2019-2022'!D11</f>
        <v>0</v>
      </c>
      <c r="C12" s="15">
        <f>+'METAS 2019-2022'!G11</f>
        <v>22500</v>
      </c>
      <c r="D12" s="17">
        <f>2011+1960+1905+1365</f>
        <v>7241</v>
      </c>
      <c r="E12" s="12">
        <f t="shared" si="0"/>
        <v>0.32182222222222223</v>
      </c>
      <c r="F12" s="34">
        <f>'METAS 2019-2022'!I11</f>
        <v>90000</v>
      </c>
      <c r="G12" s="32">
        <f>+'DICIEMBRE 2020'!G12+D12</f>
        <v>73999</v>
      </c>
      <c r="H12" s="31">
        <f>G12/F12</f>
        <v>0.82221111111111111</v>
      </c>
    </row>
    <row r="13" spans="1:11" ht="43.5" customHeight="1" x14ac:dyDescent="0.25">
      <c r="A13" s="13" t="s">
        <v>18</v>
      </c>
      <c r="B13" s="34">
        <f>'METAS 2019-2022'!D12</f>
        <v>1164</v>
      </c>
      <c r="C13" s="15">
        <f>+'METAS 2019-2022'!G12-'METAS 2019-2022'!F12</f>
        <v>310</v>
      </c>
      <c r="D13" s="14">
        <f>5+10+13+17</f>
        <v>45</v>
      </c>
      <c r="E13" s="12">
        <f t="shared" si="0"/>
        <v>0.14516129032258066</v>
      </c>
      <c r="F13" s="34">
        <f>'METAS 2019-2022'!I12</f>
        <v>2344</v>
      </c>
      <c r="G13" s="32">
        <f>+'DICIEMBRE 2020'!G13+D13</f>
        <v>1958</v>
      </c>
      <c r="H13" s="31">
        <f>(G13-B13)/(F13-B13)</f>
        <v>0.67288135593220344</v>
      </c>
      <c r="I13" s="26"/>
      <c r="K13" s="26"/>
    </row>
    <row r="14" spans="1:11" ht="74.25" customHeight="1" x14ac:dyDescent="0.25">
      <c r="A14" s="13" t="s">
        <v>20</v>
      </c>
      <c r="B14" s="34">
        <f>'METAS 2019-2022'!D13</f>
        <v>1</v>
      </c>
      <c r="C14" s="14">
        <f>+'METAS 2019-2022'!G13-'METAS 2019-2022'!F13</f>
        <v>1</v>
      </c>
      <c r="D14" s="14">
        <v>1</v>
      </c>
      <c r="E14" s="12">
        <f t="shared" si="0"/>
        <v>1</v>
      </c>
      <c r="F14" s="34">
        <f>'METAS 2019-2022'!I13</f>
        <v>5</v>
      </c>
      <c r="G14" s="28">
        <f>+'DICIEMBRE 2020'!G14+D14</f>
        <v>3</v>
      </c>
      <c r="H14" s="31">
        <f>(G14-B14)/(F14-B14)</f>
        <v>0.5</v>
      </c>
    </row>
    <row r="15" spans="1:11" ht="56.25" customHeight="1" x14ac:dyDescent="0.25">
      <c r="A15" s="13" t="s">
        <v>21</v>
      </c>
      <c r="B15" s="34">
        <f>'METAS 2019-2022'!D14</f>
        <v>57</v>
      </c>
      <c r="C15" s="15">
        <f>+'METAS 2019-2022'!G14-'METAS 2019-2022'!F14</f>
        <v>10</v>
      </c>
      <c r="D15" s="14">
        <f>1+1+0+3</f>
        <v>5</v>
      </c>
      <c r="E15" s="12">
        <f>+D15/C15</f>
        <v>0.5</v>
      </c>
      <c r="F15" s="34">
        <f>'METAS 2019-2022'!I14</f>
        <v>97</v>
      </c>
      <c r="G15" s="28">
        <f>+'DICIEMBRE 2020'!G15+D15</f>
        <v>99</v>
      </c>
      <c r="H15" s="31">
        <f>(G15-B15)/(F15-B15)</f>
        <v>1.05</v>
      </c>
      <c r="I15" s="26"/>
    </row>
    <row r="16" spans="1:11" ht="66" customHeight="1" x14ac:dyDescent="0.25">
      <c r="A16" s="13" t="s">
        <v>22</v>
      </c>
      <c r="B16" s="33">
        <f>'METAS 2019-2022'!D15</f>
        <v>0</v>
      </c>
      <c r="C16" s="16">
        <f>+'METAS 2019-2022'!G15-'METAS 2019-2022'!F15</f>
        <v>0.29999999999999993</v>
      </c>
      <c r="D16" s="16">
        <f>5%+4%+2%+8%</f>
        <v>0.19</v>
      </c>
      <c r="E16" s="12">
        <f t="shared" si="0"/>
        <v>0.63333333333333353</v>
      </c>
      <c r="F16" s="33">
        <f>'METAS 2019-2022'!I15</f>
        <v>1</v>
      </c>
      <c r="G16" s="30">
        <f>+'DICIEMBRE 2020'!G16+D16</f>
        <v>0.64000000000000012</v>
      </c>
      <c r="H16" s="31">
        <f>G16/F16</f>
        <v>0.64000000000000012</v>
      </c>
    </row>
    <row r="17" spans="1:10" ht="116.25" customHeight="1" x14ac:dyDescent="0.25">
      <c r="A17" s="13" t="s">
        <v>23</v>
      </c>
      <c r="B17" s="33">
        <f>'METAS 2019-2022'!D16</f>
        <v>0</v>
      </c>
      <c r="C17" s="16">
        <f>+'METAS 2019-2022'!G16-'METAS 2019-2022'!F16</f>
        <v>0.29999999999999993</v>
      </c>
      <c r="D17" s="16">
        <f>3%+3%+7%+4%</f>
        <v>0.17</v>
      </c>
      <c r="E17" s="12">
        <f>+D17/C17</f>
        <v>0.56666666666666687</v>
      </c>
      <c r="F17" s="33">
        <f>'METAS 2019-2022'!I16</f>
        <v>1</v>
      </c>
      <c r="G17" s="30">
        <f>+'DICIEMBRE 2020'!G17+D17</f>
        <v>0.63000000000000012</v>
      </c>
      <c r="H17" s="31">
        <f>G17/F17</f>
        <v>0.63000000000000012</v>
      </c>
    </row>
    <row r="18" spans="1:10" ht="69.75" customHeight="1" x14ac:dyDescent="0.25">
      <c r="A18" s="13" t="s">
        <v>24</v>
      </c>
      <c r="B18" s="34">
        <f>'METAS 2019-2022'!D17</f>
        <v>808</v>
      </c>
      <c r="C18" s="15">
        <f>+'METAS 2019-2022'!G17-'METAS 2019-2022'!F17</f>
        <v>60</v>
      </c>
      <c r="D18" s="14">
        <f>8+4+5+2</f>
        <v>19</v>
      </c>
      <c r="E18" s="12">
        <f t="shared" si="0"/>
        <v>0.31666666666666665</v>
      </c>
      <c r="F18" s="34">
        <f>'METAS 2019-2022'!I17</f>
        <v>1008</v>
      </c>
      <c r="G18" s="28">
        <f>+'DICIEMBRE 2020'!G18+D18</f>
        <v>1030</v>
      </c>
      <c r="H18" s="31">
        <f>(G18-B18)/(F18-B18)</f>
        <v>1.1100000000000001</v>
      </c>
      <c r="I18" s="26"/>
      <c r="J18" s="26"/>
    </row>
    <row r="19" spans="1:10" ht="39.75" customHeight="1" x14ac:dyDescent="0.25">
      <c r="A19" s="13" t="s">
        <v>61</v>
      </c>
      <c r="B19" s="34">
        <f>'METAS 2019-2022'!D18</f>
        <v>0</v>
      </c>
      <c r="C19" s="16" t="str">
        <f>+'METAS 2019-2022'!G18</f>
        <v>N/A</v>
      </c>
      <c r="D19" s="15" t="s">
        <v>42</v>
      </c>
      <c r="E19" s="12" t="s">
        <v>42</v>
      </c>
      <c r="F19" s="34">
        <f>'METAS 2019-2022'!I18</f>
        <v>1</v>
      </c>
      <c r="G19" s="29">
        <v>0</v>
      </c>
      <c r="H19" s="31">
        <f>G19/F19</f>
        <v>0</v>
      </c>
    </row>
    <row r="20" spans="1:10" ht="72" customHeight="1" x14ac:dyDescent="0.25">
      <c r="A20" s="13" t="s">
        <v>60</v>
      </c>
      <c r="B20" s="29">
        <f>'METAS 2019-2022'!D19</f>
        <v>1</v>
      </c>
      <c r="C20" s="15">
        <f>+'METAS 2019-2022'!G19</f>
        <v>1</v>
      </c>
      <c r="D20" s="15">
        <v>0</v>
      </c>
      <c r="E20" s="45">
        <f t="shared" si="0"/>
        <v>0</v>
      </c>
      <c r="F20" s="34">
        <f>'METAS 2019-2022'!I19</f>
        <v>4</v>
      </c>
      <c r="G20" s="29">
        <f>+'DICIEMBRE 2020'!G20+'ENERO 2021'!D20</f>
        <v>2</v>
      </c>
      <c r="H20" s="30">
        <f>+G20/F20</f>
        <v>0.5</v>
      </c>
    </row>
    <row r="21" spans="1:10" ht="73.5" customHeight="1" x14ac:dyDescent="0.25">
      <c r="A21" s="13" t="s">
        <v>48</v>
      </c>
      <c r="B21" s="33">
        <f>'METAS 2019-2022'!D20</f>
        <v>0</v>
      </c>
      <c r="C21" s="16" t="str">
        <f>+'METAS 2019-2022'!G20</f>
        <v>N/A</v>
      </c>
      <c r="D21" s="15" t="s">
        <v>42</v>
      </c>
      <c r="E21" s="12" t="s">
        <v>42</v>
      </c>
      <c r="F21" s="33">
        <f>'METAS 2019-2022'!I20</f>
        <v>1</v>
      </c>
      <c r="G21" s="33">
        <v>0</v>
      </c>
      <c r="H21" s="31">
        <f>G21/F21</f>
        <v>0</v>
      </c>
    </row>
    <row r="22" spans="1:10" ht="63" customHeight="1" x14ac:dyDescent="0.25">
      <c r="A22" s="13" t="s">
        <v>64</v>
      </c>
      <c r="B22" s="33">
        <f>'METAS 2019-2022'!D21</f>
        <v>0</v>
      </c>
      <c r="C22" s="16" t="str">
        <f>+'METAS 2019-2022'!G21</f>
        <v>N/A</v>
      </c>
      <c r="D22" s="27" t="s">
        <v>42</v>
      </c>
      <c r="E22" s="45" t="s">
        <v>42</v>
      </c>
      <c r="F22" s="33">
        <f>'METAS 2019-2022'!I21</f>
        <v>1</v>
      </c>
      <c r="G22" s="30">
        <f>+'DICIEMBRE 2020'!G22</f>
        <v>1</v>
      </c>
      <c r="H22" s="30">
        <f>+G22/F22</f>
        <v>1</v>
      </c>
    </row>
    <row r="23" spans="1:10" ht="57" x14ac:dyDescent="0.25">
      <c r="A23" s="13" t="s">
        <v>71</v>
      </c>
      <c r="B23" s="33">
        <v>0</v>
      </c>
      <c r="C23" s="16">
        <f>+'METAS 2019-2022'!G22</f>
        <v>1</v>
      </c>
      <c r="D23" s="16">
        <v>0</v>
      </c>
      <c r="E23" s="10">
        <f>+D23/C23</f>
        <v>0</v>
      </c>
      <c r="F23" s="33">
        <f>+'METAS 2019-2022'!I22</f>
        <v>1</v>
      </c>
      <c r="G23" s="33">
        <f>+D23</f>
        <v>0</v>
      </c>
      <c r="H23" s="33">
        <f>+G23/F23</f>
        <v>0</v>
      </c>
    </row>
    <row r="24" spans="1:10" x14ac:dyDescent="0.25">
      <c r="A24" s="1" t="s">
        <v>47</v>
      </c>
    </row>
    <row r="25" spans="1:10" x14ac:dyDescent="0.25">
      <c r="A25" s="1" t="s">
        <v>59</v>
      </c>
    </row>
  </sheetData>
  <mergeCells count="5">
    <mergeCell ref="A1:H1"/>
    <mergeCell ref="A3:A4"/>
    <mergeCell ref="B3:B4"/>
    <mergeCell ref="C3:E3"/>
    <mergeCell ref="F3:H3"/>
  </mergeCells>
  <pageMargins left="0.7" right="0.7" top="0.75" bottom="0.75" header="0.3" footer="0.3"/>
  <ignoredErrors>
    <ignoredError sqref="H18 H7:H8 H12 H9:H11 H2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AACB0-A858-4A36-AF53-FE4152325C5E}">
  <dimension ref="A1:K25"/>
  <sheetViews>
    <sheetView zoomScale="70" zoomScaleNormal="70" workbookViewId="0">
      <selection activeCell="C10" sqref="C10"/>
    </sheetView>
  </sheetViews>
  <sheetFormatPr baseColWidth="10" defaultRowHeight="14.25" x14ac:dyDescent="0.25"/>
  <cols>
    <col min="1" max="1" width="77.5703125" style="1" customWidth="1"/>
    <col min="2" max="2" width="25.140625" style="1" customWidth="1"/>
    <col min="3" max="6" width="25.140625" style="3" customWidth="1"/>
    <col min="7" max="8" width="25.140625" style="1" customWidth="1"/>
    <col min="9" max="16384" width="11.42578125" style="1"/>
  </cols>
  <sheetData>
    <row r="1" spans="1:11" ht="83.25" customHeight="1" x14ac:dyDescent="0.25">
      <c r="A1" s="74" t="s">
        <v>82</v>
      </c>
      <c r="B1" s="74"/>
      <c r="C1" s="74"/>
      <c r="D1" s="74"/>
      <c r="E1" s="74"/>
      <c r="F1" s="74"/>
      <c r="G1" s="74"/>
      <c r="H1" s="74"/>
    </row>
    <row r="2" spans="1:11" ht="21" customHeight="1" x14ac:dyDescent="0.25">
      <c r="A2" s="63"/>
      <c r="B2" s="63"/>
      <c r="C2" s="63"/>
      <c r="D2" s="63"/>
      <c r="E2" s="63"/>
      <c r="F2" s="63"/>
      <c r="G2" s="63"/>
      <c r="H2" s="63"/>
    </row>
    <row r="3" spans="1:11" ht="26.25" customHeight="1" x14ac:dyDescent="0.25">
      <c r="A3" s="72" t="s">
        <v>0</v>
      </c>
      <c r="B3" s="73" t="s">
        <v>3</v>
      </c>
      <c r="C3" s="70">
        <v>2021</v>
      </c>
      <c r="D3" s="70"/>
      <c r="E3" s="70"/>
      <c r="F3" s="71" t="s">
        <v>49</v>
      </c>
      <c r="G3" s="71"/>
      <c r="H3" s="71"/>
    </row>
    <row r="4" spans="1:11" ht="61.5" customHeight="1" x14ac:dyDescent="0.25">
      <c r="A4" s="72"/>
      <c r="B4" s="73"/>
      <c r="C4" s="64" t="s">
        <v>58</v>
      </c>
      <c r="D4" s="64" t="s">
        <v>83</v>
      </c>
      <c r="E4" s="64" t="s">
        <v>52</v>
      </c>
      <c r="F4" s="65" t="s">
        <v>50</v>
      </c>
      <c r="G4" s="65" t="s">
        <v>84</v>
      </c>
      <c r="H4" s="65" t="s">
        <v>52</v>
      </c>
    </row>
    <row r="5" spans="1:11" ht="55.5" customHeight="1" x14ac:dyDescent="0.25">
      <c r="A5" s="13" t="s">
        <v>5</v>
      </c>
      <c r="B5" s="34">
        <f>'METAS 2019-2022'!D4</f>
        <v>790000</v>
      </c>
      <c r="C5" s="14">
        <f>+'METAS 2019-2022'!G4-'DICIEMBRE 2020'!G5</f>
        <v>143251</v>
      </c>
      <c r="D5" s="14">
        <f>4258+5553+7680+6909+8174</f>
        <v>32574</v>
      </c>
      <c r="E5" s="12">
        <f>+D5/C5</f>
        <v>0.22739108278476242</v>
      </c>
      <c r="F5" s="34">
        <f>'METAS 2019-2022'!I4</f>
        <v>1185000</v>
      </c>
      <c r="G5" s="28">
        <f>'DICIEMBRE 2020'!G5+D5</f>
        <v>937923</v>
      </c>
      <c r="H5" s="36">
        <f>(G5-B5)/(F5-B5)</f>
        <v>0.37448860759493668</v>
      </c>
      <c r="I5" s="46"/>
      <c r="J5" s="26"/>
    </row>
    <row r="6" spans="1:11" ht="61.5" customHeight="1" x14ac:dyDescent="0.25">
      <c r="A6" s="13" t="s">
        <v>8</v>
      </c>
      <c r="B6" s="34">
        <f>'METAS 2019-2022'!D5</f>
        <v>559</v>
      </c>
      <c r="C6" s="15">
        <f>+'METAS 2019-2022'!G5</f>
        <v>500</v>
      </c>
      <c r="D6" s="15">
        <f>23+28+36+43+77</f>
        <v>207</v>
      </c>
      <c r="E6" s="12">
        <f t="shared" ref="E6:E20" si="0">+D6/C6</f>
        <v>0.41399999999999998</v>
      </c>
      <c r="F6" s="34">
        <f>'METAS 2019-2022'!I5</f>
        <v>2000</v>
      </c>
      <c r="G6" s="29">
        <f>+'DICIEMBRE 2020'!G6+D6</f>
        <v>836</v>
      </c>
      <c r="H6" s="31">
        <f>G6/F6</f>
        <v>0.41799999999999998</v>
      </c>
      <c r="I6" s="26"/>
    </row>
    <row r="7" spans="1:11" ht="45.75" customHeight="1" x14ac:dyDescent="0.25">
      <c r="A7" s="13" t="s">
        <v>11</v>
      </c>
      <c r="B7" s="33">
        <f>'METAS 2019-2022'!D6</f>
        <v>0.44</v>
      </c>
      <c r="C7" s="16">
        <f>+'METAS 2019-2022'!G6</f>
        <v>1</v>
      </c>
      <c r="D7" s="10">
        <v>1</v>
      </c>
      <c r="E7" s="12">
        <f>+D7/C7</f>
        <v>1</v>
      </c>
      <c r="F7" s="33">
        <f>'METAS 2019-2022'!I6</f>
        <v>1</v>
      </c>
      <c r="G7" s="30">
        <f>+D7</f>
        <v>1</v>
      </c>
      <c r="H7" s="31">
        <f>+G7/F7</f>
        <v>1</v>
      </c>
    </row>
    <row r="8" spans="1:11" ht="57" customHeight="1" x14ac:dyDescent="0.25">
      <c r="A8" s="13" t="s">
        <v>12</v>
      </c>
      <c r="B8" s="34">
        <f>'METAS 2019-2022'!D7</f>
        <v>0</v>
      </c>
      <c r="C8" s="15" t="s">
        <v>42</v>
      </c>
      <c r="D8" s="15" t="s">
        <v>42</v>
      </c>
      <c r="E8" s="12" t="s">
        <v>42</v>
      </c>
      <c r="F8" s="34">
        <f>'METAS 2019-2022'!I7</f>
        <v>10</v>
      </c>
      <c r="G8" s="29">
        <f>+'DICIEMBRE 2020'!G8</f>
        <v>14</v>
      </c>
      <c r="H8" s="31">
        <f>G8/F8</f>
        <v>1.4</v>
      </c>
    </row>
    <row r="9" spans="1:11" ht="38.25" customHeight="1" x14ac:dyDescent="0.25">
      <c r="A9" s="13" t="s">
        <v>14</v>
      </c>
      <c r="B9" s="33">
        <f>'METAS 2019-2022'!D8</f>
        <v>0</v>
      </c>
      <c r="C9" s="16">
        <f>+'METAS 2019-2022'!I8-'DICIEMBRE 2020'!G9</f>
        <v>0.26666666666666661</v>
      </c>
      <c r="D9" s="53">
        <f>(0+0+2+2+4)/105</f>
        <v>7.6190476190476197E-2</v>
      </c>
      <c r="E9" s="12">
        <f>+D9/C9</f>
        <v>0.28571428571428581</v>
      </c>
      <c r="F9" s="33">
        <f>'METAS 2019-2022'!I8</f>
        <v>1</v>
      </c>
      <c r="G9" s="31">
        <f>+'DICIEMBRE 2020'!G9+D9</f>
        <v>0.80952380952380953</v>
      </c>
      <c r="H9" s="36">
        <f>+G9/F9</f>
        <v>0.80952380952380953</v>
      </c>
    </row>
    <row r="10" spans="1:11" ht="38.25" customHeight="1" x14ac:dyDescent="0.25">
      <c r="A10" s="13" t="s">
        <v>15</v>
      </c>
      <c r="B10" s="34">
        <f>'METAS 2019-2022'!D9</f>
        <v>0</v>
      </c>
      <c r="C10" s="14">
        <f>+'METAS 2019-2022'!G9-'DICIEMBRE 2020'!G10</f>
        <v>301</v>
      </c>
      <c r="D10" s="15">
        <f>5+15+28+40+46</f>
        <v>134</v>
      </c>
      <c r="E10" s="12">
        <f>+D10/C10</f>
        <v>0.44518272425249167</v>
      </c>
      <c r="F10" s="34">
        <f>'METAS 2019-2022'!I9</f>
        <v>840</v>
      </c>
      <c r="G10" s="29">
        <f>+'DICIEMBRE 2020'!G10+D10</f>
        <v>463</v>
      </c>
      <c r="H10" s="31">
        <f>G10/F10</f>
        <v>0.55119047619047623</v>
      </c>
    </row>
    <row r="11" spans="1:11" ht="33" customHeight="1" x14ac:dyDescent="0.25">
      <c r="A11" s="13" t="s">
        <v>17</v>
      </c>
      <c r="B11" s="34">
        <f>'METAS 2019-2022'!D10</f>
        <v>18</v>
      </c>
      <c r="C11" s="15">
        <f>+'METAS 2019-2022'!G10-'METAS 2019-2022'!F10</f>
        <v>1</v>
      </c>
      <c r="D11" s="14">
        <f>0+1+1+1+1</f>
        <v>4</v>
      </c>
      <c r="E11" s="12">
        <f t="shared" si="0"/>
        <v>4</v>
      </c>
      <c r="F11" s="34">
        <f>'METAS 2019-2022'!I10</f>
        <v>25</v>
      </c>
      <c r="G11" s="28">
        <f>+'DICIEMBRE 2020'!G11+D11</f>
        <v>30</v>
      </c>
      <c r="H11" s="31">
        <f>(G11-B11)/(F11-B11)</f>
        <v>1.7142857142857142</v>
      </c>
    </row>
    <row r="12" spans="1:11" ht="38.25" customHeight="1" x14ac:dyDescent="0.25">
      <c r="A12" s="13" t="s">
        <v>19</v>
      </c>
      <c r="B12" s="34">
        <f>'METAS 2019-2022'!D11</f>
        <v>0</v>
      </c>
      <c r="C12" s="15">
        <f>+'METAS 2019-2022'!G11</f>
        <v>22500</v>
      </c>
      <c r="D12" s="17">
        <f>2011+1960+1905+1365+1601</f>
        <v>8842</v>
      </c>
      <c r="E12" s="12">
        <f t="shared" si="0"/>
        <v>0.39297777777777776</v>
      </c>
      <c r="F12" s="34">
        <f>'METAS 2019-2022'!I11</f>
        <v>90000</v>
      </c>
      <c r="G12" s="32">
        <f>+'DICIEMBRE 2020'!G12+D12</f>
        <v>75600</v>
      </c>
      <c r="H12" s="31">
        <f>G12/F12</f>
        <v>0.84</v>
      </c>
    </row>
    <row r="13" spans="1:11" ht="43.5" customHeight="1" x14ac:dyDescent="0.25">
      <c r="A13" s="13" t="s">
        <v>18</v>
      </c>
      <c r="B13" s="34">
        <f>'METAS 2019-2022'!D12</f>
        <v>1164</v>
      </c>
      <c r="C13" s="15">
        <f>+'METAS 2019-2022'!G12-'METAS 2019-2022'!F12</f>
        <v>310</v>
      </c>
      <c r="D13" s="14">
        <f>5+10+13+17+27</f>
        <v>72</v>
      </c>
      <c r="E13" s="12">
        <f t="shared" si="0"/>
        <v>0.23225806451612904</v>
      </c>
      <c r="F13" s="34">
        <f>'METAS 2019-2022'!I12</f>
        <v>2344</v>
      </c>
      <c r="G13" s="32">
        <f>+'DICIEMBRE 2020'!G13+D13</f>
        <v>1985</v>
      </c>
      <c r="H13" s="31">
        <f>(G13-B13)/(F13-B13)</f>
        <v>0.69576271186440675</v>
      </c>
      <c r="I13" s="26"/>
      <c r="K13" s="26"/>
    </row>
    <row r="14" spans="1:11" ht="74.25" customHeight="1" x14ac:dyDescent="0.25">
      <c r="A14" s="13" t="s">
        <v>20</v>
      </c>
      <c r="B14" s="34">
        <f>'METAS 2019-2022'!D13</f>
        <v>1</v>
      </c>
      <c r="C14" s="14">
        <f>+'METAS 2019-2022'!G13-'METAS 2019-2022'!F13</f>
        <v>1</v>
      </c>
      <c r="D14" s="14">
        <v>1</v>
      </c>
      <c r="E14" s="12">
        <f t="shared" si="0"/>
        <v>1</v>
      </c>
      <c r="F14" s="34">
        <f>'METAS 2019-2022'!I13</f>
        <v>5</v>
      </c>
      <c r="G14" s="28">
        <f>+'DICIEMBRE 2020'!G14+D14</f>
        <v>3</v>
      </c>
      <c r="H14" s="31">
        <f>(G14-B14)/(F14-B14)</f>
        <v>0.5</v>
      </c>
    </row>
    <row r="15" spans="1:11" ht="56.25" customHeight="1" x14ac:dyDescent="0.25">
      <c r="A15" s="13" t="s">
        <v>21</v>
      </c>
      <c r="B15" s="34">
        <f>'METAS 2019-2022'!D14</f>
        <v>57</v>
      </c>
      <c r="C15" s="15">
        <f>+'METAS 2019-2022'!G14-'METAS 2019-2022'!F14</f>
        <v>10</v>
      </c>
      <c r="D15" s="14">
        <f>1+1+0+3+0</f>
        <v>5</v>
      </c>
      <c r="E15" s="12">
        <f>+D15/C15</f>
        <v>0.5</v>
      </c>
      <c r="F15" s="34">
        <f>'METAS 2019-2022'!I14</f>
        <v>97</v>
      </c>
      <c r="G15" s="28">
        <f>+'DICIEMBRE 2020'!G15+D15</f>
        <v>99</v>
      </c>
      <c r="H15" s="31">
        <f>(G15-B15)/(F15-B15)</f>
        <v>1.05</v>
      </c>
      <c r="I15" s="26"/>
    </row>
    <row r="16" spans="1:11" ht="66" customHeight="1" x14ac:dyDescent="0.25">
      <c r="A16" s="13" t="s">
        <v>22</v>
      </c>
      <c r="B16" s="33">
        <f>'METAS 2019-2022'!D15</f>
        <v>0</v>
      </c>
      <c r="C16" s="16">
        <f>+'METAS 2019-2022'!G15-'METAS 2019-2022'!F15</f>
        <v>0.29999999999999993</v>
      </c>
      <c r="D16" s="16">
        <f>5%+4%+2%+8%+2%</f>
        <v>0.21</v>
      </c>
      <c r="E16" s="12">
        <f t="shared" si="0"/>
        <v>0.70000000000000018</v>
      </c>
      <c r="F16" s="33">
        <f>'METAS 2019-2022'!I15</f>
        <v>1</v>
      </c>
      <c r="G16" s="30">
        <f>+'DICIEMBRE 2020'!G16+D16</f>
        <v>0.66</v>
      </c>
      <c r="H16" s="31">
        <f>G16/F16</f>
        <v>0.66</v>
      </c>
    </row>
    <row r="17" spans="1:10" ht="116.25" customHeight="1" x14ac:dyDescent="0.25">
      <c r="A17" s="13" t="s">
        <v>23</v>
      </c>
      <c r="B17" s="33">
        <f>'METAS 2019-2022'!D16</f>
        <v>0</v>
      </c>
      <c r="C17" s="16">
        <f>+'METAS 2019-2022'!G16-'METAS 2019-2022'!F16</f>
        <v>0.29999999999999993</v>
      </c>
      <c r="D17" s="16">
        <f>3%+3%+7%+4%+4%</f>
        <v>0.21000000000000002</v>
      </c>
      <c r="E17" s="12">
        <f>+D17/C17</f>
        <v>0.70000000000000018</v>
      </c>
      <c r="F17" s="33">
        <f>'METAS 2019-2022'!I16</f>
        <v>1</v>
      </c>
      <c r="G17" s="30">
        <f>+'DICIEMBRE 2020'!G17+D17</f>
        <v>0.67000000000000015</v>
      </c>
      <c r="H17" s="31">
        <f>G17/F17</f>
        <v>0.67000000000000015</v>
      </c>
    </row>
    <row r="18" spans="1:10" ht="69.75" customHeight="1" x14ac:dyDescent="0.25">
      <c r="A18" s="13" t="s">
        <v>24</v>
      </c>
      <c r="B18" s="34">
        <f>'METAS 2019-2022'!D17</f>
        <v>808</v>
      </c>
      <c r="C18" s="15">
        <f>+'METAS 2019-2022'!G17-'METAS 2019-2022'!F17</f>
        <v>60</v>
      </c>
      <c r="D18" s="14">
        <f>8+4+5+2+7</f>
        <v>26</v>
      </c>
      <c r="E18" s="12">
        <f t="shared" si="0"/>
        <v>0.43333333333333335</v>
      </c>
      <c r="F18" s="34">
        <f>'METAS 2019-2022'!I17</f>
        <v>1008</v>
      </c>
      <c r="G18" s="28">
        <f>+'DICIEMBRE 2020'!G18+D18</f>
        <v>1037</v>
      </c>
      <c r="H18" s="31">
        <f>(G18-B18)/(F18-B18)</f>
        <v>1.145</v>
      </c>
      <c r="I18" s="26"/>
      <c r="J18" s="26"/>
    </row>
    <row r="19" spans="1:10" ht="39.75" customHeight="1" x14ac:dyDescent="0.25">
      <c r="A19" s="13" t="s">
        <v>61</v>
      </c>
      <c r="B19" s="34">
        <f>'METAS 2019-2022'!D18</f>
        <v>0</v>
      </c>
      <c r="C19" s="16" t="str">
        <f>+'METAS 2019-2022'!G18</f>
        <v>N/A</v>
      </c>
      <c r="D19" s="15" t="s">
        <v>42</v>
      </c>
      <c r="E19" s="12" t="s">
        <v>42</v>
      </c>
      <c r="F19" s="34">
        <f>'METAS 2019-2022'!I18</f>
        <v>1</v>
      </c>
      <c r="G19" s="29">
        <v>0</v>
      </c>
      <c r="H19" s="31">
        <f>G19/F19</f>
        <v>0</v>
      </c>
    </row>
    <row r="20" spans="1:10" ht="72" customHeight="1" x14ac:dyDescent="0.25">
      <c r="A20" s="13" t="s">
        <v>60</v>
      </c>
      <c r="B20" s="29">
        <f>'METAS 2019-2022'!D19</f>
        <v>1</v>
      </c>
      <c r="C20" s="15">
        <f>+'METAS 2019-2022'!G19</f>
        <v>1</v>
      </c>
      <c r="D20" s="15">
        <v>0</v>
      </c>
      <c r="E20" s="45">
        <f t="shared" si="0"/>
        <v>0</v>
      </c>
      <c r="F20" s="34">
        <f>'METAS 2019-2022'!I19</f>
        <v>4</v>
      </c>
      <c r="G20" s="29">
        <f>+'DICIEMBRE 2020'!G20+'ENERO 2021'!D20</f>
        <v>2</v>
      </c>
      <c r="H20" s="30">
        <f>+G20/F20</f>
        <v>0.5</v>
      </c>
    </row>
    <row r="21" spans="1:10" ht="73.5" customHeight="1" x14ac:dyDescent="0.25">
      <c r="A21" s="13" t="s">
        <v>48</v>
      </c>
      <c r="B21" s="33">
        <f>'METAS 2019-2022'!D20</f>
        <v>0</v>
      </c>
      <c r="C21" s="16" t="str">
        <f>+'METAS 2019-2022'!G20</f>
        <v>N/A</v>
      </c>
      <c r="D21" s="15" t="s">
        <v>42</v>
      </c>
      <c r="E21" s="12" t="s">
        <v>42</v>
      </c>
      <c r="F21" s="33">
        <f>'METAS 2019-2022'!I20</f>
        <v>1</v>
      </c>
      <c r="G21" s="33">
        <v>0</v>
      </c>
      <c r="H21" s="31">
        <f>G21/F21</f>
        <v>0</v>
      </c>
    </row>
    <row r="22" spans="1:10" ht="63" customHeight="1" x14ac:dyDescent="0.25">
      <c r="A22" s="13" t="s">
        <v>64</v>
      </c>
      <c r="B22" s="33">
        <f>'METAS 2019-2022'!D21</f>
        <v>0</v>
      </c>
      <c r="C22" s="16" t="str">
        <f>+'METAS 2019-2022'!G21</f>
        <v>N/A</v>
      </c>
      <c r="D22" s="27" t="s">
        <v>42</v>
      </c>
      <c r="E22" s="45" t="s">
        <v>42</v>
      </c>
      <c r="F22" s="33">
        <f>'METAS 2019-2022'!I21</f>
        <v>1</v>
      </c>
      <c r="G22" s="30">
        <f>+'DICIEMBRE 2020'!G22</f>
        <v>1</v>
      </c>
      <c r="H22" s="30">
        <f>+G22/F22</f>
        <v>1</v>
      </c>
    </row>
    <row r="23" spans="1:10" ht="57" x14ac:dyDescent="0.25">
      <c r="A23" s="13" t="s">
        <v>71</v>
      </c>
      <c r="B23" s="33">
        <v>0</v>
      </c>
      <c r="C23" s="16">
        <f>+'METAS 2019-2022'!G22</f>
        <v>1</v>
      </c>
      <c r="D23" s="16">
        <v>0</v>
      </c>
      <c r="E23" s="10">
        <f>+D23/C23</f>
        <v>0</v>
      </c>
      <c r="F23" s="33">
        <f>+'METAS 2019-2022'!I22</f>
        <v>1</v>
      </c>
      <c r="G23" s="33">
        <f>+D23</f>
        <v>0</v>
      </c>
      <c r="H23" s="33">
        <f>+G23/F23</f>
        <v>0</v>
      </c>
    </row>
    <row r="24" spans="1:10" x14ac:dyDescent="0.25">
      <c r="A24" s="1" t="s">
        <v>47</v>
      </c>
    </row>
    <row r="25" spans="1:10" x14ac:dyDescent="0.25">
      <c r="A25" s="1" t="s">
        <v>59</v>
      </c>
    </row>
  </sheetData>
  <mergeCells count="5">
    <mergeCell ref="A1:H1"/>
    <mergeCell ref="A3:A4"/>
    <mergeCell ref="B3:B4"/>
    <mergeCell ref="C3:E3"/>
    <mergeCell ref="F3:H3"/>
  </mergeCells>
  <pageMargins left="0.7" right="0.7" top="0.75" bottom="0.75" header="0.3" footer="0.3"/>
  <ignoredErrors>
    <ignoredError sqref="H18 H8:H9 H7 H11:H12 H20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8B979-5452-4D35-8C3F-387887485B2A}">
  <dimension ref="A1:K25"/>
  <sheetViews>
    <sheetView tabSelected="1" zoomScale="70" zoomScaleNormal="70" workbookViewId="0">
      <selection activeCell="A3" sqref="A3:A4"/>
    </sheetView>
  </sheetViews>
  <sheetFormatPr baseColWidth="10" defaultRowHeight="15" x14ac:dyDescent="0.25"/>
  <cols>
    <col min="1" max="1" width="77.5703125" style="1" customWidth="1"/>
    <col min="2" max="2" width="25.140625" style="1" customWidth="1"/>
    <col min="3" max="6" width="25.140625" style="3" customWidth="1"/>
    <col min="7" max="8" width="25.140625" style="1" customWidth="1"/>
    <col min="9" max="16384" width="11.42578125" style="1"/>
  </cols>
  <sheetData>
    <row r="1" spans="1:11" ht="83.25" customHeight="1" x14ac:dyDescent="0.25">
      <c r="A1" s="74" t="s">
        <v>85</v>
      </c>
      <c r="B1" s="74"/>
      <c r="C1" s="74"/>
      <c r="D1" s="74"/>
      <c r="E1" s="74"/>
      <c r="F1" s="74"/>
      <c r="G1" s="74"/>
      <c r="H1" s="74"/>
    </row>
    <row r="2" spans="1:11" ht="21" customHeight="1" x14ac:dyDescent="0.25">
      <c r="A2" s="66"/>
      <c r="B2" s="66"/>
      <c r="C2" s="66"/>
      <c r="D2" s="66"/>
      <c r="E2" s="66"/>
      <c r="F2" s="66"/>
      <c r="G2" s="66"/>
      <c r="H2" s="66"/>
    </row>
    <row r="3" spans="1:11" ht="26.25" customHeight="1" x14ac:dyDescent="0.25">
      <c r="A3" s="72" t="s">
        <v>0</v>
      </c>
      <c r="B3" s="73" t="s">
        <v>3</v>
      </c>
      <c r="C3" s="70">
        <v>2021</v>
      </c>
      <c r="D3" s="70"/>
      <c r="E3" s="70"/>
      <c r="F3" s="71" t="s">
        <v>49</v>
      </c>
      <c r="G3" s="71"/>
      <c r="H3" s="71"/>
    </row>
    <row r="4" spans="1:11" ht="61.5" customHeight="1" x14ac:dyDescent="0.25">
      <c r="A4" s="72"/>
      <c r="B4" s="73"/>
      <c r="C4" s="67" t="s">
        <v>58</v>
      </c>
      <c r="D4" s="67" t="s">
        <v>86</v>
      </c>
      <c r="E4" s="67" t="s">
        <v>52</v>
      </c>
      <c r="F4" s="68" t="s">
        <v>50</v>
      </c>
      <c r="G4" s="68" t="s">
        <v>87</v>
      </c>
      <c r="H4" s="68" t="s">
        <v>52</v>
      </c>
    </row>
    <row r="5" spans="1:11" ht="55.5" customHeight="1" x14ac:dyDescent="0.25">
      <c r="A5" s="13" t="s">
        <v>5</v>
      </c>
      <c r="B5" s="34">
        <f>'METAS 2019-2022'!D4</f>
        <v>790000</v>
      </c>
      <c r="C5" s="14">
        <f>+'METAS 2019-2022'!G4-'DICIEMBRE 2020'!G5</f>
        <v>143251</v>
      </c>
      <c r="D5" s="14">
        <f>4258+5553+7680+6909+8174+10295</f>
        <v>42869</v>
      </c>
      <c r="E5" s="12">
        <f>+D5/C5</f>
        <v>0.29925794584331</v>
      </c>
      <c r="F5" s="34">
        <f>'METAS 2019-2022'!I4</f>
        <v>1185000</v>
      </c>
      <c r="G5" s="28">
        <f>'DICIEMBRE 2020'!G5+D5</f>
        <v>948218</v>
      </c>
      <c r="H5" s="36">
        <f>(G5-B5)/(F5-B5)</f>
        <v>0.40055189873417724</v>
      </c>
      <c r="I5" s="46"/>
      <c r="J5" s="26"/>
    </row>
    <row r="6" spans="1:11" ht="61.5" customHeight="1" x14ac:dyDescent="0.25">
      <c r="A6" s="13" t="s">
        <v>8</v>
      </c>
      <c r="B6" s="34">
        <f>'METAS 2019-2022'!D5</f>
        <v>559</v>
      </c>
      <c r="C6" s="15">
        <f>+'METAS 2019-2022'!G5</f>
        <v>500</v>
      </c>
      <c r="D6" s="15">
        <f>23+28+36+43+77+67</f>
        <v>274</v>
      </c>
      <c r="E6" s="12">
        <f t="shared" ref="E6:E20" si="0">+D6/C6</f>
        <v>0.54800000000000004</v>
      </c>
      <c r="F6" s="34">
        <f>'METAS 2019-2022'!I5</f>
        <v>2000</v>
      </c>
      <c r="G6" s="29">
        <f>+'DICIEMBRE 2020'!G6+D6</f>
        <v>903</v>
      </c>
      <c r="H6" s="31">
        <f>G6/F6</f>
        <v>0.45150000000000001</v>
      </c>
      <c r="I6" s="26"/>
    </row>
    <row r="7" spans="1:11" ht="45.75" customHeight="1" x14ac:dyDescent="0.25">
      <c r="A7" s="13" t="s">
        <v>11</v>
      </c>
      <c r="B7" s="33">
        <f>'METAS 2019-2022'!D6</f>
        <v>0.44</v>
      </c>
      <c r="C7" s="16">
        <f>+'METAS 2019-2022'!G6</f>
        <v>1</v>
      </c>
      <c r="D7" s="10">
        <v>1</v>
      </c>
      <c r="E7" s="12">
        <f>+D7/C7</f>
        <v>1</v>
      </c>
      <c r="F7" s="33">
        <f>'METAS 2019-2022'!I6</f>
        <v>1</v>
      </c>
      <c r="G7" s="30">
        <f>+D7</f>
        <v>1</v>
      </c>
      <c r="H7" s="31">
        <f>+G7/F7</f>
        <v>1</v>
      </c>
    </row>
    <row r="8" spans="1:11" ht="57" customHeight="1" x14ac:dyDescent="0.25">
      <c r="A8" s="13" t="s">
        <v>12</v>
      </c>
      <c r="B8" s="34">
        <f>'METAS 2019-2022'!D7</f>
        <v>0</v>
      </c>
      <c r="C8" s="15" t="s">
        <v>42</v>
      </c>
      <c r="D8" s="15" t="s">
        <v>42</v>
      </c>
      <c r="E8" s="12" t="s">
        <v>42</v>
      </c>
      <c r="F8" s="34">
        <f>'METAS 2019-2022'!I7</f>
        <v>10</v>
      </c>
      <c r="G8" s="29">
        <f>+'DICIEMBRE 2020'!G8</f>
        <v>14</v>
      </c>
      <c r="H8" s="31">
        <f>G8/F8</f>
        <v>1.4</v>
      </c>
    </row>
    <row r="9" spans="1:11" ht="38.25" customHeight="1" x14ac:dyDescent="0.25">
      <c r="A9" s="13" t="s">
        <v>14</v>
      </c>
      <c r="B9" s="33">
        <f>'METAS 2019-2022'!D8</f>
        <v>0</v>
      </c>
      <c r="C9" s="16">
        <f>+'METAS 2019-2022'!I8-'DICIEMBRE 2020'!G9</f>
        <v>0.26666666666666661</v>
      </c>
      <c r="D9" s="75">
        <f>(0+0+2+2+4+3)/105</f>
        <v>0.10476190476190476</v>
      </c>
      <c r="E9" s="12">
        <f>+D9/C9</f>
        <v>0.39285714285714296</v>
      </c>
      <c r="F9" s="33">
        <f>'METAS 2019-2022'!I8</f>
        <v>1</v>
      </c>
      <c r="G9" s="36">
        <f>+'DICIEMBRE 2020'!G9+D9</f>
        <v>0.83809523809523812</v>
      </c>
      <c r="H9" s="36">
        <f>+G9/F9</f>
        <v>0.83809523809523812</v>
      </c>
    </row>
    <row r="10" spans="1:11" ht="38.25" customHeight="1" x14ac:dyDescent="0.25">
      <c r="A10" s="13" t="s">
        <v>15</v>
      </c>
      <c r="B10" s="34">
        <f>'METAS 2019-2022'!D9</f>
        <v>0</v>
      </c>
      <c r="C10" s="14">
        <f>+'METAS 2019-2022'!G9-'DICIEMBRE 2020'!G10</f>
        <v>301</v>
      </c>
      <c r="D10" s="15">
        <f>5+15+28+40+46+31</f>
        <v>165</v>
      </c>
      <c r="E10" s="12">
        <f>+D10/C10</f>
        <v>0.54817275747508309</v>
      </c>
      <c r="F10" s="34">
        <f>'METAS 2019-2022'!I9</f>
        <v>840</v>
      </c>
      <c r="G10" s="29">
        <f>+'DICIEMBRE 2020'!G10+D10</f>
        <v>494</v>
      </c>
      <c r="H10" s="31">
        <f>G10/F10</f>
        <v>0.58809523809523812</v>
      </c>
    </row>
    <row r="11" spans="1:11" ht="33" customHeight="1" x14ac:dyDescent="0.25">
      <c r="A11" s="13" t="s">
        <v>17</v>
      </c>
      <c r="B11" s="34">
        <f>'METAS 2019-2022'!D10</f>
        <v>18</v>
      </c>
      <c r="C11" s="15">
        <f>+'METAS 2019-2022'!G10-'METAS 2019-2022'!F10</f>
        <v>1</v>
      </c>
      <c r="D11" s="14">
        <f>0+1+1+1+1+1</f>
        <v>5</v>
      </c>
      <c r="E11" s="12">
        <f t="shared" si="0"/>
        <v>5</v>
      </c>
      <c r="F11" s="34">
        <f>'METAS 2019-2022'!I10</f>
        <v>25</v>
      </c>
      <c r="G11" s="28">
        <f>+'DICIEMBRE 2020'!G11+D11</f>
        <v>31</v>
      </c>
      <c r="H11" s="31">
        <f>(G11-B11)/(F11-B11)</f>
        <v>1.8571428571428572</v>
      </c>
    </row>
    <row r="12" spans="1:11" ht="38.25" customHeight="1" x14ac:dyDescent="0.25">
      <c r="A12" s="13" t="s">
        <v>19</v>
      </c>
      <c r="B12" s="34">
        <f>'METAS 2019-2022'!D11</f>
        <v>0</v>
      </c>
      <c r="C12" s="15">
        <f>+'METAS 2019-2022'!G11</f>
        <v>22500</v>
      </c>
      <c r="D12" s="17">
        <f>2011+1960+1905+1365+1601+1617</f>
        <v>10459</v>
      </c>
      <c r="E12" s="12">
        <f t="shared" si="0"/>
        <v>0.46484444444444445</v>
      </c>
      <c r="F12" s="34">
        <f>'METAS 2019-2022'!I11</f>
        <v>90000</v>
      </c>
      <c r="G12" s="32">
        <f>+'DICIEMBRE 2020'!G12+D12</f>
        <v>77217</v>
      </c>
      <c r="H12" s="31">
        <f>G12/F12</f>
        <v>0.85796666666666666</v>
      </c>
    </row>
    <row r="13" spans="1:11" ht="43.5" customHeight="1" x14ac:dyDescent="0.25">
      <c r="A13" s="13" t="s">
        <v>18</v>
      </c>
      <c r="B13" s="34">
        <f>'METAS 2019-2022'!D12</f>
        <v>1164</v>
      </c>
      <c r="C13" s="15">
        <f>+'METAS 2019-2022'!G12-'METAS 2019-2022'!F12</f>
        <v>310</v>
      </c>
      <c r="D13" s="14">
        <f>5+10+13+17+27+40</f>
        <v>112</v>
      </c>
      <c r="E13" s="12">
        <f t="shared" si="0"/>
        <v>0.36129032258064514</v>
      </c>
      <c r="F13" s="34">
        <f>'METAS 2019-2022'!I12</f>
        <v>2344</v>
      </c>
      <c r="G13" s="32">
        <f>+'DICIEMBRE 2020'!G13+D13</f>
        <v>2025</v>
      </c>
      <c r="H13" s="31">
        <f>(G13-B13)/(F13-B13)</f>
        <v>0.72966101694915253</v>
      </c>
      <c r="I13" s="26"/>
      <c r="K13" s="26"/>
    </row>
    <row r="14" spans="1:11" ht="74.25" customHeight="1" x14ac:dyDescent="0.25">
      <c r="A14" s="13" t="s">
        <v>20</v>
      </c>
      <c r="B14" s="34">
        <f>'METAS 2019-2022'!D13</f>
        <v>1</v>
      </c>
      <c r="C14" s="14">
        <f>+'METAS 2019-2022'!G13-'METAS 2019-2022'!F13</f>
        <v>1</v>
      </c>
      <c r="D14" s="14">
        <v>1</v>
      </c>
      <c r="E14" s="12">
        <f t="shared" si="0"/>
        <v>1</v>
      </c>
      <c r="F14" s="34">
        <f>'METAS 2019-2022'!I13</f>
        <v>5</v>
      </c>
      <c r="G14" s="28">
        <f>+'DICIEMBRE 2020'!G14+D14</f>
        <v>3</v>
      </c>
      <c r="H14" s="31">
        <f>(G14-B14)/(F14-B14)</f>
        <v>0.5</v>
      </c>
    </row>
    <row r="15" spans="1:11" ht="56.25" customHeight="1" x14ac:dyDescent="0.25">
      <c r="A15" s="13" t="s">
        <v>21</v>
      </c>
      <c r="B15" s="34">
        <f>'METAS 2019-2022'!D14</f>
        <v>57</v>
      </c>
      <c r="C15" s="15">
        <f>+'METAS 2019-2022'!G14-'METAS 2019-2022'!F14</f>
        <v>10</v>
      </c>
      <c r="D15" s="14">
        <f>1+1+0+3+0+2</f>
        <v>7</v>
      </c>
      <c r="E15" s="12">
        <f>+D15/C15</f>
        <v>0.7</v>
      </c>
      <c r="F15" s="34">
        <f>'METAS 2019-2022'!I14</f>
        <v>97</v>
      </c>
      <c r="G15" s="28">
        <f>+'DICIEMBRE 2020'!G15+D15</f>
        <v>101</v>
      </c>
      <c r="H15" s="31">
        <f>(G15-B15)/(F15-B15)</f>
        <v>1.1000000000000001</v>
      </c>
      <c r="I15" s="26"/>
    </row>
    <row r="16" spans="1:11" ht="66" customHeight="1" x14ac:dyDescent="0.25">
      <c r="A16" s="13" t="s">
        <v>22</v>
      </c>
      <c r="B16" s="33">
        <f>'METAS 2019-2022'!D15</f>
        <v>0</v>
      </c>
      <c r="C16" s="16">
        <f>+'METAS 2019-2022'!G15-'METAS 2019-2022'!F15</f>
        <v>0.29999999999999993</v>
      </c>
      <c r="D16" s="16">
        <f>5%+4%+2%+8%+2%+4%</f>
        <v>0.25</v>
      </c>
      <c r="E16" s="12">
        <f t="shared" si="0"/>
        <v>0.83333333333333348</v>
      </c>
      <c r="F16" s="33">
        <f>'METAS 2019-2022'!I15</f>
        <v>1</v>
      </c>
      <c r="G16" s="30">
        <f>+'DICIEMBRE 2020'!G16+D16</f>
        <v>0.70000000000000007</v>
      </c>
      <c r="H16" s="31">
        <f>G16/F16</f>
        <v>0.70000000000000007</v>
      </c>
    </row>
    <row r="17" spans="1:10" ht="116.25" customHeight="1" x14ac:dyDescent="0.25">
      <c r="A17" s="13" t="s">
        <v>23</v>
      </c>
      <c r="B17" s="33">
        <f>'METAS 2019-2022'!D16</f>
        <v>0</v>
      </c>
      <c r="C17" s="16">
        <f>+'METAS 2019-2022'!G16-'METAS 2019-2022'!F16</f>
        <v>0.29999999999999993</v>
      </c>
      <c r="D17" s="16">
        <f>3%+3%+7%+4%+4%+2%</f>
        <v>0.23</v>
      </c>
      <c r="E17" s="12">
        <f>+D17/C17</f>
        <v>0.76666666666666683</v>
      </c>
      <c r="F17" s="33">
        <f>'METAS 2019-2022'!I16</f>
        <v>1</v>
      </c>
      <c r="G17" s="30">
        <f>+'DICIEMBRE 2020'!G17+D17</f>
        <v>0.69000000000000006</v>
      </c>
      <c r="H17" s="31">
        <f>G17/F17</f>
        <v>0.69000000000000006</v>
      </c>
    </row>
    <row r="18" spans="1:10" ht="69.75" customHeight="1" x14ac:dyDescent="0.25">
      <c r="A18" s="13" t="s">
        <v>24</v>
      </c>
      <c r="B18" s="34">
        <f>'METAS 2019-2022'!D17</f>
        <v>808</v>
      </c>
      <c r="C18" s="15">
        <f>+'METAS 2019-2022'!G17-'METAS 2019-2022'!F17</f>
        <v>60</v>
      </c>
      <c r="D18" s="14">
        <f>8+4+5+2+7+3</f>
        <v>29</v>
      </c>
      <c r="E18" s="12">
        <f t="shared" si="0"/>
        <v>0.48333333333333334</v>
      </c>
      <c r="F18" s="34">
        <f>'METAS 2019-2022'!I17</f>
        <v>1008</v>
      </c>
      <c r="G18" s="28">
        <f>+'DICIEMBRE 2020'!G18+D18</f>
        <v>1040</v>
      </c>
      <c r="H18" s="31">
        <f>(G18-B18)/(F18-B18)</f>
        <v>1.1599999999999999</v>
      </c>
      <c r="I18" s="26"/>
      <c r="J18" s="26"/>
    </row>
    <row r="19" spans="1:10" ht="39.75" customHeight="1" x14ac:dyDescent="0.25">
      <c r="A19" s="13" t="s">
        <v>61</v>
      </c>
      <c r="B19" s="34">
        <f>'METAS 2019-2022'!D18</f>
        <v>0</v>
      </c>
      <c r="C19" s="16" t="str">
        <f>+'METAS 2019-2022'!G18</f>
        <v>N/A</v>
      </c>
      <c r="D19" s="15" t="s">
        <v>42</v>
      </c>
      <c r="E19" s="12" t="s">
        <v>42</v>
      </c>
      <c r="F19" s="34">
        <f>'METAS 2019-2022'!I18</f>
        <v>1</v>
      </c>
      <c r="G19" s="29">
        <v>0</v>
      </c>
      <c r="H19" s="31">
        <f>G19/F19</f>
        <v>0</v>
      </c>
    </row>
    <row r="20" spans="1:10" ht="72" customHeight="1" x14ac:dyDescent="0.25">
      <c r="A20" s="13" t="s">
        <v>60</v>
      </c>
      <c r="B20" s="29">
        <f>'METAS 2019-2022'!D19</f>
        <v>1</v>
      </c>
      <c r="C20" s="15">
        <f>+'METAS 2019-2022'!G19</f>
        <v>1</v>
      </c>
      <c r="D20" s="15">
        <v>0</v>
      </c>
      <c r="E20" s="45">
        <f t="shared" si="0"/>
        <v>0</v>
      </c>
      <c r="F20" s="34">
        <f>'METAS 2019-2022'!I19</f>
        <v>4</v>
      </c>
      <c r="G20" s="29">
        <f>+'DICIEMBRE 2020'!G20+'ENERO 2021'!D20</f>
        <v>2</v>
      </c>
      <c r="H20" s="30">
        <f>+G20/F20</f>
        <v>0.5</v>
      </c>
    </row>
    <row r="21" spans="1:10" ht="73.5" customHeight="1" x14ac:dyDescent="0.25">
      <c r="A21" s="13" t="s">
        <v>48</v>
      </c>
      <c r="B21" s="33">
        <f>'METAS 2019-2022'!D20</f>
        <v>0</v>
      </c>
      <c r="C21" s="16" t="str">
        <f>+'METAS 2019-2022'!G20</f>
        <v>N/A</v>
      </c>
      <c r="D21" s="15" t="s">
        <v>42</v>
      </c>
      <c r="E21" s="12" t="s">
        <v>42</v>
      </c>
      <c r="F21" s="33">
        <f>'METAS 2019-2022'!I20</f>
        <v>1</v>
      </c>
      <c r="G21" s="33">
        <v>0</v>
      </c>
      <c r="H21" s="31">
        <f>G21/F21</f>
        <v>0</v>
      </c>
    </row>
    <row r="22" spans="1:10" ht="63" customHeight="1" x14ac:dyDescent="0.25">
      <c r="A22" s="13" t="s">
        <v>64</v>
      </c>
      <c r="B22" s="33">
        <f>'METAS 2019-2022'!D21</f>
        <v>0</v>
      </c>
      <c r="C22" s="16" t="str">
        <f>+'METAS 2019-2022'!G21</f>
        <v>N/A</v>
      </c>
      <c r="D22" s="27" t="s">
        <v>42</v>
      </c>
      <c r="E22" s="45" t="s">
        <v>42</v>
      </c>
      <c r="F22" s="33">
        <f>'METAS 2019-2022'!I21</f>
        <v>1</v>
      </c>
      <c r="G22" s="30">
        <f>+'DICIEMBRE 2020'!G22</f>
        <v>1</v>
      </c>
      <c r="H22" s="30">
        <f>+G22/F22</f>
        <v>1</v>
      </c>
    </row>
    <row r="23" spans="1:10" ht="57" x14ac:dyDescent="0.25">
      <c r="A23" s="13" t="s">
        <v>71</v>
      </c>
      <c r="B23" s="33">
        <v>0</v>
      </c>
      <c r="C23" s="16">
        <f>+'METAS 2019-2022'!G22</f>
        <v>1</v>
      </c>
      <c r="D23" s="16">
        <v>0</v>
      </c>
      <c r="E23" s="10">
        <f>+D23/C23</f>
        <v>0</v>
      </c>
      <c r="F23" s="33">
        <f>+'METAS 2019-2022'!I22</f>
        <v>1</v>
      </c>
      <c r="G23" s="33">
        <f>+D23</f>
        <v>0</v>
      </c>
      <c r="H23" s="33">
        <f>+G23/F23</f>
        <v>0</v>
      </c>
    </row>
    <row r="24" spans="1:10" ht="14.25" x14ac:dyDescent="0.25">
      <c r="A24" s="1" t="s">
        <v>47</v>
      </c>
    </row>
    <row r="25" spans="1:10" ht="14.25" x14ac:dyDescent="0.25">
      <c r="A25" s="1" t="s">
        <v>59</v>
      </c>
    </row>
  </sheetData>
  <mergeCells count="5">
    <mergeCell ref="A1:H1"/>
    <mergeCell ref="A3:A4"/>
    <mergeCell ref="B3:B4"/>
    <mergeCell ref="C3:E3"/>
    <mergeCell ref="F3:H3"/>
  </mergeCells>
  <pageMargins left="0.7" right="0.7" top="0.75" bottom="0.75" header="0.3" footer="0.3"/>
  <ignoredErrors>
    <ignoredError sqref="H7:H9 H11:H12 H18 H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METAS 2019-2022</vt:lpstr>
      <vt:lpstr>DICIEMBRE 2019</vt:lpstr>
      <vt:lpstr>DICIEMBRE 2020</vt:lpstr>
      <vt:lpstr>ENERO 2021</vt:lpstr>
      <vt:lpstr>FEBRERO 2021</vt:lpstr>
      <vt:lpstr>MARZO 2021</vt:lpstr>
      <vt:lpstr>ABRIL 2021</vt:lpstr>
      <vt:lpstr>MAYO 2021</vt:lpstr>
      <vt:lpstr>JUNIO 2021</vt:lpstr>
      <vt:lpstr>'METAS 2019-2022'!Títulos_a_imprimir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Gladys Nayibe Barrera Sopo</dc:creator>
  <cp:lastModifiedBy>LUZ ADRIANA NAVA VILLAMIL</cp:lastModifiedBy>
  <dcterms:created xsi:type="dcterms:W3CDTF">2019-09-30T15:24:31Z</dcterms:created>
  <dcterms:modified xsi:type="dcterms:W3CDTF">2021-07-12T18:13:32Z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